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660" tabRatio="254" activeTab="0"/>
  </bookViews>
  <sheets>
    <sheet name="Vorrunde" sheetId="1" r:id="rId1"/>
    <sheet name="Endrunde" sheetId="2" r:id="rId2"/>
    <sheet name="Berechnung" sheetId="3" state="hidden" r:id="rId3"/>
    <sheet name="Text" sheetId="4" state="hidden" r:id="rId4"/>
  </sheets>
  <definedNames>
    <definedName name="_xlnm.Print_Area" localSheetId="2">'Berechnung'!$A$1:$BF$34</definedName>
    <definedName name="_xlnm.Print_Area" localSheetId="1">'Endrunde'!$A$1:$I$24</definedName>
    <definedName name="_xlnm.Print_Area" localSheetId="0">'Vorrunde'!$A$1:$S$37</definedName>
  </definedNames>
  <calcPr fullCalcOnLoad="1"/>
</workbook>
</file>

<file path=xl/sharedStrings.xml><?xml version="1.0" encoding="utf-8"?>
<sst xmlns="http://schemas.openxmlformats.org/spreadsheetml/2006/main" count="225" uniqueCount="109">
  <si>
    <t>:</t>
  </si>
  <si>
    <t>A</t>
  </si>
  <si>
    <t>B</t>
  </si>
  <si>
    <t>C</t>
  </si>
  <si>
    <t>D</t>
  </si>
  <si>
    <t>Portugal</t>
  </si>
  <si>
    <t>GER</t>
  </si>
  <si>
    <t>POL</t>
  </si>
  <si>
    <t>SWE</t>
  </si>
  <si>
    <t>NED</t>
  </si>
  <si>
    <t>POR</t>
  </si>
  <si>
    <t>ITA</t>
  </si>
  <si>
    <t>CZE</t>
  </si>
  <si>
    <t>CRO</t>
  </si>
  <si>
    <t>SUI</t>
  </si>
  <si>
    <t>ESP</t>
  </si>
  <si>
    <t>Abkürzung</t>
  </si>
  <si>
    <t>Vollständiger Text</t>
  </si>
  <si>
    <t>GRUPPE A</t>
  </si>
  <si>
    <t>Deutschland</t>
  </si>
  <si>
    <t>Polen</t>
  </si>
  <si>
    <t>GRUPPE B</t>
  </si>
  <si>
    <t>Schweden</t>
  </si>
  <si>
    <t>GRUPPE C</t>
  </si>
  <si>
    <t>Niederlande</t>
  </si>
  <si>
    <t>GRUPPE D</t>
  </si>
  <si>
    <t>Italien</t>
  </si>
  <si>
    <t>Kroatien</t>
  </si>
  <si>
    <t>Frankreich</t>
  </si>
  <si>
    <t>Schweiz</t>
  </si>
  <si>
    <t>Spanien</t>
  </si>
  <si>
    <t>Spiele</t>
  </si>
  <si>
    <t>Punkte</t>
  </si>
  <si>
    <t>Erzielte Tore</t>
  </si>
  <si>
    <t>Tordifferenz</t>
  </si>
  <si>
    <t>Tore</t>
  </si>
  <si>
    <t>Eindeutige Platzierung</t>
  </si>
  <si>
    <t>zwei Teams auf Platz 3</t>
  </si>
  <si>
    <t>Auswahl durch Losverfahren</t>
  </si>
  <si>
    <t>VORRUNDE</t>
  </si>
  <si>
    <t>ACHTELFINALE</t>
  </si>
  <si>
    <t>VIERTELFINALE</t>
  </si>
  <si>
    <t>HALBFINALE</t>
  </si>
  <si>
    <t>FINALE</t>
  </si>
  <si>
    <t>Sieger</t>
  </si>
  <si>
    <t>Gruppe</t>
  </si>
  <si>
    <t>Spiel</t>
  </si>
  <si>
    <t>Datum</t>
  </si>
  <si>
    <t>Spielergebnisse</t>
  </si>
  <si>
    <t>Tabelle mit Ausgangsreihenfolge der Gruppen</t>
  </si>
  <si>
    <t>Tabelle der Endergebnisse</t>
  </si>
  <si>
    <t>Punkteverteilung Szenario 2 und 4</t>
  </si>
  <si>
    <t>Szenario 3</t>
  </si>
  <si>
    <t>Platzierung in den Gruppen</t>
  </si>
  <si>
    <t>Alle Spiele vollständig?</t>
  </si>
  <si>
    <t>Gesamtpunktzahl: 10000*Pkt.+100*TD+ET</t>
  </si>
  <si>
    <t>Teams mit gleicher Punktzahl</t>
  </si>
  <si>
    <t>direkter Gegner bei Punktegleichstand</t>
  </si>
  <si>
    <t>Punkte gegen direkten Gegner</t>
  </si>
  <si>
    <t>Punkte bei Gleichstand</t>
  </si>
  <si>
    <t>Team ohne Punktegleichstand</t>
  </si>
  <si>
    <t>Tordifferenzen</t>
  </si>
  <si>
    <t>gegen Teams mit Punktegleichstand</t>
  </si>
  <si>
    <t>Gesamtpunktzahl</t>
  </si>
  <si>
    <t>Teams sortieren</t>
  </si>
  <si>
    <t>Platzierung</t>
  </si>
  <si>
    <t>Eindeutig oder durch Los entscheiden?</t>
  </si>
  <si>
    <t>Gleichstand liegt vor</t>
  </si>
  <si>
    <t>SPIEL UM PLATZ 3</t>
  </si>
  <si>
    <t>ENDRUNDE</t>
  </si>
  <si>
    <t>Zweiter</t>
  </si>
  <si>
    <t>Sp.</t>
  </si>
  <si>
    <t>GT</t>
  </si>
  <si>
    <t>Gegentore</t>
  </si>
  <si>
    <t>T</t>
  </si>
  <si>
    <t>Pkte.</t>
  </si>
  <si>
    <t>Diff.</t>
  </si>
  <si>
    <t>Losverfahren wegen Gleichstand. Geben Sie die errechneten Platzierungen (rot) in der richtigen Reihenfolge ein.</t>
  </si>
  <si>
    <t>Tschechien</t>
  </si>
  <si>
    <t>TUR</t>
  </si>
  <si>
    <t>Türkei</t>
  </si>
  <si>
    <t>AUT</t>
  </si>
  <si>
    <t>Österreich</t>
  </si>
  <si>
    <t>Rumänien</t>
  </si>
  <si>
    <t>ROM</t>
  </si>
  <si>
    <t>Frau</t>
  </si>
  <si>
    <t>GRE</t>
  </si>
  <si>
    <t>Griechenland</t>
  </si>
  <si>
    <t>RUS</t>
  </si>
  <si>
    <t>Russland</t>
  </si>
  <si>
    <t>Euro 2008 - Spielplan</t>
  </si>
  <si>
    <t>Basel</t>
  </si>
  <si>
    <t>Genf</t>
  </si>
  <si>
    <t>Wien</t>
  </si>
  <si>
    <t>Klagenfurt</t>
  </si>
  <si>
    <t>Uhrzeit</t>
  </si>
  <si>
    <t>Zürich</t>
  </si>
  <si>
    <t>Bern</t>
  </si>
  <si>
    <t>Innsbruck</t>
  </si>
  <si>
    <t>Salzburg</t>
  </si>
  <si>
    <t>EUROPAMEISTER</t>
  </si>
  <si>
    <t>Tabelle Gruppe A</t>
  </si>
  <si>
    <t>Tabelle Gruppe D</t>
  </si>
  <si>
    <t>Tabelle Gruppe C</t>
  </si>
  <si>
    <t>Tabelle Gruppe B</t>
  </si>
  <si>
    <t>Ort</t>
  </si>
  <si>
    <t>Begegnung</t>
  </si>
  <si>
    <t>Fussball EM 2008 Spielplan - www.sportwetteninfo.de</t>
  </si>
  <si>
    <t>Fussball EM 2008 - www.sportwetteninfo.de</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</si>
</sst>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Kč&quot;;\-#,##0\ &quot;Kč&quot;"/>
    <numFmt numFmtId="187" formatCode="#,##0\ &quot;Kč&quot;;[Red]\-#,##0\ &quot;Kč&quot;"/>
    <numFmt numFmtId="188" formatCode="#,##0.00\ &quot;Kč&quot;;\-#,##0.00\ &quot;Kč&quot;"/>
    <numFmt numFmtId="189" formatCode="#,##0.00\ &quot;Kč&quot;;[Red]\-#,##0.00\ &quot;Kč&quot;"/>
    <numFmt numFmtId="190" formatCode="_-* #,##0\ &quot;Kč&quot;_-;\-* #,##0\ &quot;Kč&quot;_-;_-* &quot;-&quot;\ &quot;Kč&quot;_-;_-@_-"/>
    <numFmt numFmtId="191" formatCode="_-* #,##0\ _K_č_-;\-* #,##0\ _K_č_-;_-* &quot;-&quot;\ _K_č_-;_-@_-"/>
    <numFmt numFmtId="192" formatCode="_-* #,##0.00\ &quot;Kč&quot;_-;\-* #,##0.00\ &quot;Kč&quot;_-;_-* &quot;-&quot;??\ &quot;Kč&quot;_-;_-@_-"/>
    <numFmt numFmtId="193" formatCode="_-* #,##0.00\ _K_č_-;\-* #,##0.00\ _K_č_-;_-* &quot;-&quot;??\ _K_č_-;_-@_-"/>
    <numFmt numFmtId="194" formatCode="0.00000000"/>
    <numFmt numFmtId="195" formatCode="0.0000000"/>
    <numFmt numFmtId="196" formatCode="0.000000"/>
    <numFmt numFmtId="197" formatCode="0.00000"/>
    <numFmt numFmtId="198" formatCode="0.0000"/>
    <numFmt numFmtId="199" formatCode="0.000"/>
    <numFmt numFmtId="200" formatCode="[$-409]dddd\,\ mmmm\ dd\,\ yyyy"/>
    <numFmt numFmtId="201" formatCode="m/d;@"/>
    <numFmt numFmtId="202" formatCode="d\.m;@"/>
    <numFmt numFmtId="203" formatCode="d\.m\.;@"/>
  </numFmts>
  <fonts count="40">
    <font>
      <sz val="10"/>
      <name val="Arial"/>
      <family val="0"/>
    </font>
    <font>
      <sz val="8"/>
      <name val="Arial"/>
      <family val="0"/>
    </font>
    <font>
      <sz val="8"/>
      <name val="Tahoma"/>
      <family val="2"/>
    </font>
    <font>
      <b/>
      <sz val="8"/>
      <name val="Tahoma"/>
      <family val="2"/>
    </font>
    <font>
      <b/>
      <sz val="16"/>
      <color indexed="9"/>
      <name val="Verdana"/>
      <family val="2"/>
    </font>
    <font>
      <sz val="14"/>
      <name val="Verdana"/>
      <family val="2"/>
    </font>
    <font>
      <b/>
      <sz val="8"/>
      <name val="Verdana"/>
      <family val="2"/>
    </font>
    <font>
      <sz val="8"/>
      <name val="Verdana"/>
      <family val="2"/>
    </font>
    <font>
      <sz val="10"/>
      <name val="Verdana"/>
      <family val="2"/>
    </font>
    <font>
      <b/>
      <sz val="18"/>
      <name val="Verdana"/>
      <family val="2"/>
    </font>
    <font>
      <b/>
      <sz val="11"/>
      <color indexed="9"/>
      <name val="Verdana"/>
      <family val="2"/>
    </font>
    <font>
      <b/>
      <sz val="8"/>
      <color indexed="9"/>
      <name val="Verdana"/>
      <family val="2"/>
    </font>
    <font>
      <sz val="8"/>
      <color indexed="42"/>
      <name val="Verdana"/>
      <family val="2"/>
    </font>
    <font>
      <b/>
      <sz val="14"/>
      <color indexed="9"/>
      <name val="Verdana"/>
      <family val="2"/>
    </font>
    <font>
      <sz val="7"/>
      <color indexed="10"/>
      <name val="Verdana"/>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0"/>
      <name val="Calibri"/>
      <family val="2"/>
    </font>
    <font>
      <b/>
      <sz val="11"/>
      <color indexed="9"/>
      <name val="Calibri"/>
      <family val="2"/>
    </font>
    <font>
      <b/>
      <sz val="8"/>
      <color indexed="8"/>
      <name val="Tahoma"/>
      <family val="2"/>
    </font>
    <font>
      <sz val="8"/>
      <color indexed="8"/>
      <name val="Tahoma"/>
      <family val="2"/>
    </font>
    <font>
      <b/>
      <sz val="9"/>
      <color indexed="8"/>
      <name val="Calibri"/>
      <family val="2"/>
    </font>
    <font>
      <b/>
      <sz val="8"/>
      <color indexed="8"/>
      <name val="Calibri"/>
      <family val="2"/>
    </font>
    <font>
      <sz val="9"/>
      <color indexed="8"/>
      <name val="Calibri"/>
      <family val="2"/>
    </font>
    <font>
      <u val="single"/>
      <sz val="10"/>
      <color indexed="20"/>
      <name val="Arial"/>
      <family val="2"/>
    </font>
    <font>
      <b/>
      <u val="single"/>
      <sz val="10"/>
      <color indexed="12"/>
      <name val="Arial"/>
      <family val="2"/>
    </font>
  </fonts>
  <fills count="18">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52"/>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s>
  <borders count="5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diagonalDown="1">
      <left style="thin"/>
      <right>
        <color indexed="63"/>
      </right>
      <top style="thin"/>
      <bottom>
        <color indexed="63"/>
      </bottom>
      <diagonal style="thin"/>
    </border>
    <border>
      <left style="thin"/>
      <right style="thin"/>
      <top>
        <color indexed="63"/>
      </top>
      <bottom>
        <color indexed="63"/>
      </bottom>
    </border>
    <border diagonalDown="1">
      <left>
        <color indexed="63"/>
      </left>
      <right>
        <color indexed="63"/>
      </right>
      <top>
        <color indexed="63"/>
      </top>
      <bottom>
        <color indexed="63"/>
      </bottom>
      <diagonal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diagonalDown="1">
      <left>
        <color indexed="63"/>
      </left>
      <right style="thin"/>
      <top>
        <color indexed="63"/>
      </top>
      <bottom style="thin"/>
      <diagonal style="thin"/>
    </border>
    <border>
      <left>
        <color indexed="63"/>
      </left>
      <right style="thin"/>
      <top>
        <color indexed="63"/>
      </top>
      <bottom style="thin"/>
    </border>
    <border>
      <left style="hair"/>
      <right style="hair"/>
      <top>
        <color indexed="63"/>
      </top>
      <bottom style="hair"/>
    </border>
    <border>
      <left style="hair"/>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color indexed="50"/>
      </right>
      <top>
        <color indexed="63"/>
      </top>
      <bottom style="thin">
        <color indexed="50"/>
      </bottom>
    </border>
    <border>
      <left style="thin">
        <color indexed="50"/>
      </left>
      <right>
        <color indexed="63"/>
      </right>
      <top>
        <color indexed="63"/>
      </top>
      <bottom style="thin">
        <color indexed="50"/>
      </bottom>
    </border>
    <border>
      <left>
        <color indexed="63"/>
      </left>
      <right>
        <color indexed="63"/>
      </right>
      <top>
        <color indexed="63"/>
      </top>
      <bottom style="thin">
        <color indexed="50"/>
      </bottom>
    </border>
    <border>
      <left>
        <color indexed="63"/>
      </left>
      <right>
        <color indexed="63"/>
      </right>
      <top>
        <color indexed="63"/>
      </top>
      <bottom style="medium">
        <color indexed="9"/>
      </bottom>
    </border>
    <border>
      <left>
        <color indexed="63"/>
      </left>
      <right>
        <color indexed="63"/>
      </right>
      <top style="medium">
        <color indexed="9"/>
      </top>
      <bottom>
        <color indexed="63"/>
      </bottom>
    </border>
    <border>
      <left>
        <color indexed="63"/>
      </left>
      <right style="thin">
        <color indexed="9"/>
      </right>
      <top style="medium">
        <color indexed="9"/>
      </top>
      <bottom>
        <color indexed="63"/>
      </bottom>
    </border>
    <border>
      <left>
        <color indexed="63"/>
      </left>
      <right style="thin">
        <color indexed="52"/>
      </right>
      <top>
        <color indexed="63"/>
      </top>
      <bottom>
        <color indexed="63"/>
      </bottom>
    </border>
    <border>
      <left style="thin">
        <color indexed="50"/>
      </left>
      <right>
        <color indexed="63"/>
      </right>
      <top style="thin">
        <color indexed="50"/>
      </top>
      <bottom style="thin">
        <color indexed="52"/>
      </bottom>
    </border>
    <border>
      <left>
        <color indexed="63"/>
      </left>
      <right>
        <color indexed="63"/>
      </right>
      <top style="thin">
        <color indexed="50"/>
      </top>
      <bottom style="thin">
        <color indexed="52"/>
      </bottom>
    </border>
    <border>
      <left>
        <color indexed="63"/>
      </left>
      <right style="thin">
        <color indexed="50"/>
      </right>
      <top style="thin">
        <color indexed="50"/>
      </top>
      <bottom style="thin">
        <color indexed="52"/>
      </bottom>
    </border>
    <border>
      <left style="thin">
        <color indexed="50"/>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0"/>
      </right>
      <top style="thin">
        <color indexed="52"/>
      </top>
      <bottom>
        <color indexed="63"/>
      </bottom>
    </border>
    <border>
      <left style="thin">
        <color indexed="50"/>
      </left>
      <right>
        <color indexed="63"/>
      </right>
      <top>
        <color indexed="63"/>
      </top>
      <bottom>
        <color indexed="63"/>
      </bottom>
    </border>
    <border>
      <left>
        <color indexed="63"/>
      </left>
      <right style="thin">
        <color indexed="50"/>
      </right>
      <top>
        <color indexed="63"/>
      </top>
      <bottom>
        <color indexed="63"/>
      </bottom>
    </border>
  </borders>
  <cellStyleXfs count="6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7" fillId="3" borderId="1" applyNumberFormat="0" applyAlignment="0" applyProtection="0"/>
    <xf numFmtId="0" fontId="18" fillId="3"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19" fillId="4"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38" fillId="0" borderId="0" applyNumberFormat="0" applyFill="0" applyBorder="0" applyAlignment="0" applyProtection="0"/>
    <xf numFmtId="0" fontId="22" fillId="6" borderId="0" applyNumberFormat="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0" fillId="5" borderId="4" applyNumberFormat="0" applyFont="0" applyAlignment="0" applyProtection="0"/>
    <xf numFmtId="9" fontId="0" fillId="0" borderId="0" applyFont="0" applyFill="0" applyBorder="0" applyAlignment="0" applyProtection="0"/>
    <xf numFmtId="0" fontId="25" fillId="16" borderId="0" applyNumberFormat="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17" borderId="9" applyNumberFormat="0" applyAlignment="0" applyProtection="0"/>
  </cellStyleXfs>
  <cellXfs count="172">
    <xf numFmtId="0" fontId="0" fillId="2" borderId="0" xfId="0" applyAlignment="1">
      <alignment/>
    </xf>
    <xf numFmtId="0" fontId="2" fillId="0" borderId="0" xfId="0" applyFont="1" applyFill="1" applyAlignment="1">
      <alignment/>
    </xf>
    <xf numFmtId="0" fontId="2" fillId="0" borderId="0" xfId="0" applyFont="1" applyFill="1" applyAlignment="1">
      <alignment/>
    </xf>
    <xf numFmtId="0" fontId="2" fillId="2" borderId="0" xfId="0" applyFont="1" applyFill="1" applyAlignment="1">
      <alignment/>
    </xf>
    <xf numFmtId="0" fontId="2" fillId="2" borderId="0" xfId="0" applyFont="1" applyFill="1" applyAlignment="1">
      <alignment horizontal="center"/>
    </xf>
    <xf numFmtId="0" fontId="2" fillId="2" borderId="0" xfId="0" applyFont="1" applyFill="1" applyAlignment="1">
      <alignment horizontal="right"/>
    </xf>
    <xf numFmtId="0" fontId="2" fillId="7" borderId="0" xfId="0" applyFont="1" applyFill="1" applyAlignment="1">
      <alignment/>
    </xf>
    <xf numFmtId="0" fontId="2" fillId="7" borderId="0" xfId="0" applyFont="1" applyFill="1" applyAlignment="1">
      <alignment/>
    </xf>
    <xf numFmtId="0" fontId="3" fillId="2" borderId="0" xfId="0" applyFont="1" applyFill="1" applyAlignment="1">
      <alignment/>
    </xf>
    <xf numFmtId="0" fontId="2" fillId="2" borderId="0"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xf>
    <xf numFmtId="0" fontId="2" fillId="2" borderId="12" xfId="0" applyFont="1" applyFill="1" applyBorder="1" applyAlignment="1">
      <alignment horizontal="center"/>
    </xf>
    <xf numFmtId="0" fontId="2" fillId="2" borderId="0" xfId="0" applyFont="1" applyFill="1" applyBorder="1" applyAlignment="1">
      <alignment/>
    </xf>
    <xf numFmtId="0" fontId="2" fillId="2" borderId="0" xfId="0" applyFont="1" applyFill="1" applyAlignment="1">
      <alignment wrapText="1"/>
    </xf>
    <xf numFmtId="0" fontId="2" fillId="2" borderId="0" xfId="0" applyFont="1" applyFill="1" applyBorder="1" applyAlignment="1">
      <alignment wrapText="1"/>
    </xf>
    <xf numFmtId="0" fontId="2" fillId="2" borderId="10" xfId="0" applyFont="1" applyFill="1" applyBorder="1" applyAlignment="1">
      <alignment/>
    </xf>
    <xf numFmtId="0" fontId="2" fillId="2" borderId="11" xfId="0" applyFont="1" applyFill="1" applyBorder="1" applyAlignment="1">
      <alignment horizontal="center"/>
    </xf>
    <xf numFmtId="0" fontId="2" fillId="2" borderId="10" xfId="0" applyFont="1" applyFill="1" applyBorder="1" applyAlignment="1">
      <alignment horizontal="center"/>
    </xf>
    <xf numFmtId="0" fontId="2" fillId="2" borderId="10" xfId="0" applyFont="1" applyFill="1" applyBorder="1" applyAlignment="1">
      <alignment wrapText="1"/>
    </xf>
    <xf numFmtId="0" fontId="2" fillId="2" borderId="13" xfId="0" applyFont="1" applyFill="1" applyBorder="1" applyAlignment="1">
      <alignment horizontal="center"/>
    </xf>
    <xf numFmtId="0" fontId="2" fillId="2" borderId="13" xfId="0" applyFont="1" applyFill="1" applyBorder="1" applyAlignment="1">
      <alignment wrapText="1"/>
    </xf>
    <xf numFmtId="0" fontId="2" fillId="2" borderId="14" xfId="0" applyFont="1" applyFill="1" applyBorder="1" applyAlignment="1">
      <alignment horizontal="right"/>
    </xf>
    <xf numFmtId="0" fontId="2" fillId="2" borderId="15" xfId="0" applyFont="1" applyFill="1" applyBorder="1" applyAlignment="1">
      <alignment horizontal="center"/>
    </xf>
    <xf numFmtId="0" fontId="2" fillId="2" borderId="16" xfId="0" applyFont="1" applyFill="1" applyBorder="1" applyAlignment="1">
      <alignment horizontal="left"/>
    </xf>
    <xf numFmtId="0" fontId="2" fillId="2" borderId="12" xfId="0" applyFont="1" applyFill="1" applyBorder="1" applyAlignment="1">
      <alignment horizontal="center" textRotation="90"/>
    </xf>
    <xf numFmtId="0" fontId="2" fillId="2" borderId="0" xfId="0" applyFont="1" applyFill="1" applyBorder="1" applyAlignment="1">
      <alignment horizontal="center" textRotation="90"/>
    </xf>
    <xf numFmtId="0" fontId="3" fillId="2" borderId="17" xfId="0" applyFont="1" applyFill="1" applyBorder="1" applyAlignment="1">
      <alignment horizontal="right"/>
    </xf>
    <xf numFmtId="0" fontId="2" fillId="2" borderId="18" xfId="0" applyFont="1" applyFill="1" applyBorder="1" applyAlignment="1">
      <alignment horizontal="center" textRotation="90"/>
    </xf>
    <xf numFmtId="0" fontId="2" fillId="2" borderId="19" xfId="0" applyFont="1" applyFill="1" applyBorder="1" applyAlignment="1">
      <alignment horizontal="center" textRotation="90"/>
    </xf>
    <xf numFmtId="0" fontId="2" fillId="2" borderId="20" xfId="0" applyFont="1" applyFill="1" applyBorder="1" applyAlignment="1">
      <alignment horizontal="center" textRotation="90"/>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17" xfId="0" applyFont="1" applyFill="1" applyBorder="1" applyAlignment="1">
      <alignment/>
    </xf>
    <xf numFmtId="0" fontId="2" fillId="2" borderId="21" xfId="0" applyFont="1" applyFill="1" applyBorder="1" applyAlignment="1">
      <alignment horizontal="right"/>
    </xf>
    <xf numFmtId="0" fontId="2" fillId="2" borderId="22" xfId="0" applyFont="1" applyFill="1" applyBorder="1" applyAlignment="1">
      <alignment horizontal="left"/>
    </xf>
    <xf numFmtId="0" fontId="2" fillId="2" borderId="23" xfId="0" applyFont="1" applyFill="1" applyBorder="1" applyAlignment="1">
      <alignment horizontal="left"/>
    </xf>
    <xf numFmtId="0" fontId="2" fillId="2" borderId="24" xfId="0" applyFont="1" applyFill="1" applyBorder="1" applyAlignment="1">
      <alignment/>
    </xf>
    <xf numFmtId="0" fontId="2" fillId="2" borderId="15" xfId="0" applyFont="1" applyFill="1" applyBorder="1" applyAlignment="1">
      <alignment/>
    </xf>
    <xf numFmtId="0" fontId="2" fillId="2" borderId="16" xfId="0" applyFont="1" applyFill="1" applyBorder="1" applyAlignment="1">
      <alignment/>
    </xf>
    <xf numFmtId="0" fontId="2" fillId="2" borderId="23" xfId="0" applyFont="1" applyFill="1" applyBorder="1" applyAlignment="1">
      <alignment/>
    </xf>
    <xf numFmtId="0" fontId="2" fillId="2" borderId="14" xfId="0" applyFont="1" applyFill="1" applyBorder="1" applyAlignment="1">
      <alignment/>
    </xf>
    <xf numFmtId="0" fontId="3" fillId="2" borderId="23" xfId="0" applyFont="1" applyFill="1" applyBorder="1" applyAlignment="1">
      <alignment horizontal="center"/>
    </xf>
    <xf numFmtId="0" fontId="2" fillId="2" borderId="23" xfId="0" applyFont="1" applyFill="1" applyBorder="1" applyAlignment="1">
      <alignment/>
    </xf>
    <xf numFmtId="197" fontId="2" fillId="2" borderId="23" xfId="0" applyNumberFormat="1" applyFont="1" applyFill="1" applyBorder="1" applyAlignment="1">
      <alignment/>
    </xf>
    <xf numFmtId="0" fontId="2" fillId="2" borderId="25" xfId="0" applyFont="1" applyFill="1" applyBorder="1" applyAlignment="1">
      <alignment horizontal="left"/>
    </xf>
    <xf numFmtId="0" fontId="2" fillId="2" borderId="21" xfId="0" applyFont="1" applyFill="1" applyBorder="1" applyAlignment="1">
      <alignment/>
    </xf>
    <xf numFmtId="0" fontId="2" fillId="2" borderId="26" xfId="0" applyFont="1" applyFill="1" applyBorder="1" applyAlignment="1">
      <alignment/>
    </xf>
    <xf numFmtId="0" fontId="2" fillId="2" borderId="22" xfId="0" applyFont="1" applyFill="1" applyBorder="1" applyAlignment="1">
      <alignment/>
    </xf>
    <xf numFmtId="0" fontId="2" fillId="2" borderId="25" xfId="0" applyFont="1" applyFill="1" applyBorder="1" applyAlignment="1">
      <alignment/>
    </xf>
    <xf numFmtId="0" fontId="3" fillId="2" borderId="25" xfId="0" applyFont="1" applyFill="1" applyBorder="1" applyAlignment="1">
      <alignment horizontal="center"/>
    </xf>
    <xf numFmtId="0" fontId="2" fillId="2" borderId="25" xfId="0" applyFont="1" applyFill="1" applyBorder="1" applyAlignment="1">
      <alignment/>
    </xf>
    <xf numFmtId="197" fontId="2" fillId="2" borderId="25" xfId="0" applyNumberFormat="1" applyFont="1" applyFill="1" applyBorder="1" applyAlignment="1">
      <alignment/>
    </xf>
    <xf numFmtId="0" fontId="2" fillId="2" borderId="12" xfId="0" applyFont="1" applyFill="1" applyBorder="1" applyAlignment="1">
      <alignment/>
    </xf>
    <xf numFmtId="0" fontId="2" fillId="2" borderId="27" xfId="0" applyFont="1" applyFill="1" applyBorder="1" applyAlignment="1">
      <alignment horizontal="left"/>
    </xf>
    <xf numFmtId="0" fontId="2" fillId="2" borderId="28" xfId="0" applyFont="1" applyFill="1" applyBorder="1" applyAlignment="1">
      <alignment/>
    </xf>
    <xf numFmtId="0" fontId="2" fillId="2" borderId="29" xfId="0" applyFont="1" applyFill="1" applyBorder="1" applyAlignment="1">
      <alignment/>
    </xf>
    <xf numFmtId="0" fontId="2" fillId="2" borderId="30" xfId="0" applyFont="1" applyFill="1" applyBorder="1" applyAlignment="1">
      <alignment/>
    </xf>
    <xf numFmtId="0" fontId="2" fillId="2" borderId="27" xfId="0" applyFont="1" applyFill="1" applyBorder="1" applyAlignment="1">
      <alignment/>
    </xf>
    <xf numFmtId="0" fontId="2" fillId="2" borderId="31" xfId="0" applyFont="1" applyFill="1" applyBorder="1" applyAlignment="1">
      <alignment/>
    </xf>
    <xf numFmtId="0" fontId="3" fillId="2" borderId="27" xfId="0" applyFont="1" applyFill="1" applyBorder="1" applyAlignment="1">
      <alignment horizontal="center"/>
    </xf>
    <xf numFmtId="0" fontId="2" fillId="2" borderId="27" xfId="0" applyFont="1" applyFill="1" applyBorder="1" applyAlignment="1">
      <alignment/>
    </xf>
    <xf numFmtId="197" fontId="2" fillId="2" borderId="27" xfId="0" applyNumberFormat="1" applyFont="1" applyFill="1" applyBorder="1" applyAlignment="1">
      <alignment/>
    </xf>
    <xf numFmtId="0" fontId="2" fillId="2" borderId="28" xfId="0" applyFont="1" applyFill="1" applyBorder="1" applyAlignment="1">
      <alignment horizontal="right"/>
    </xf>
    <xf numFmtId="0" fontId="2" fillId="2" borderId="29" xfId="0" applyFont="1" applyFill="1" applyBorder="1" applyAlignment="1">
      <alignment horizontal="center"/>
    </xf>
    <xf numFmtId="0" fontId="2" fillId="2" borderId="31" xfId="0" applyFont="1" applyFill="1" applyBorder="1" applyAlignment="1">
      <alignment horizontal="left"/>
    </xf>
    <xf numFmtId="0" fontId="2" fillId="2" borderId="18" xfId="0" applyFont="1" applyFill="1" applyBorder="1" applyAlignment="1">
      <alignment horizontal="right"/>
    </xf>
    <xf numFmtId="0" fontId="2" fillId="2" borderId="20" xfId="0" applyFont="1" applyFill="1" applyBorder="1" applyAlignment="1">
      <alignment/>
    </xf>
    <xf numFmtId="0" fontId="2" fillId="2" borderId="18" xfId="0" applyFont="1" applyFill="1" applyBorder="1" applyAlignment="1">
      <alignment/>
    </xf>
    <xf numFmtId="0" fontId="3" fillId="2" borderId="0" xfId="0" applyFont="1" applyFill="1" applyBorder="1" applyAlignment="1">
      <alignment/>
    </xf>
    <xf numFmtId="0" fontId="3" fillId="2" borderId="10" xfId="0" applyNumberFormat="1" applyFont="1" applyFill="1" applyBorder="1" applyAlignment="1">
      <alignment horizontal="center" wrapText="1"/>
    </xf>
    <xf numFmtId="0" fontId="3" fillId="2" borderId="10" xfId="0" applyFont="1" applyFill="1" applyBorder="1" applyAlignment="1">
      <alignment horizontal="center" wrapText="1"/>
    </xf>
    <xf numFmtId="0" fontId="5" fillId="2" borderId="0" xfId="0" applyFont="1" applyFill="1" applyAlignment="1">
      <alignment/>
    </xf>
    <xf numFmtId="0" fontId="5" fillId="2" borderId="0" xfId="0" applyFont="1" applyFill="1" applyAlignment="1">
      <alignment horizontal="center"/>
    </xf>
    <xf numFmtId="0" fontId="5" fillId="2" borderId="0" xfId="0" applyFont="1" applyFill="1" applyAlignment="1">
      <alignment horizontal="right"/>
    </xf>
    <xf numFmtId="0" fontId="5"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horizontal="right"/>
    </xf>
    <xf numFmtId="0" fontId="7" fillId="2" borderId="0" xfId="0" applyFont="1" applyFill="1" applyAlignment="1">
      <alignment horizontal="left"/>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horizontal="right" vertical="center"/>
    </xf>
    <xf numFmtId="0" fontId="8" fillId="2" borderId="0" xfId="0" applyFont="1" applyFill="1" applyAlignment="1">
      <alignment horizontal="left" vertical="center"/>
    </xf>
    <xf numFmtId="201" fontId="7" fillId="2" borderId="0" xfId="0" applyNumberFormat="1" applyFont="1" applyFill="1" applyBorder="1" applyAlignment="1">
      <alignment horizontal="left" vertical="center"/>
    </xf>
    <xf numFmtId="203" fontId="7" fillId="2" borderId="0" xfId="0" applyNumberFormat="1" applyFont="1" applyFill="1" applyBorder="1" applyAlignment="1">
      <alignment vertical="center"/>
    </xf>
    <xf numFmtId="0" fontId="7" fillId="2" borderId="0" xfId="0" applyFont="1" applyFill="1" applyBorder="1" applyAlignment="1">
      <alignment vertical="center"/>
    </xf>
    <xf numFmtId="0" fontId="7" fillId="2" borderId="0" xfId="0" applyFont="1" applyFill="1" applyAlignment="1">
      <alignment vertical="center"/>
    </xf>
    <xf numFmtId="0" fontId="7" fillId="2" borderId="0" xfId="0" applyFont="1" applyFill="1" applyAlignment="1">
      <alignment horizontal="center" vertical="center"/>
    </xf>
    <xf numFmtId="0" fontId="7" fillId="2" borderId="0" xfId="0" applyFont="1" applyFill="1" applyAlignment="1">
      <alignment horizontal="right" vertical="center"/>
    </xf>
    <xf numFmtId="0" fontId="7" fillId="2" borderId="0" xfId="0" applyFont="1" applyFill="1" applyAlignment="1">
      <alignment horizontal="left" vertical="center"/>
    </xf>
    <xf numFmtId="0" fontId="6" fillId="2" borderId="0" xfId="0" applyFont="1" applyFill="1" applyBorder="1" applyAlignment="1">
      <alignment vertical="center"/>
    </xf>
    <xf numFmtId="203" fontId="6" fillId="2" borderId="0" xfId="0" applyNumberFormat="1" applyFont="1" applyFill="1" applyBorder="1" applyAlignment="1">
      <alignment horizontal="left" vertical="center"/>
    </xf>
    <xf numFmtId="0" fontId="7" fillId="2" borderId="0" xfId="0" applyFont="1" applyBorder="1" applyAlignment="1">
      <alignment horizontal="left" vertical="center"/>
    </xf>
    <xf numFmtId="203" fontId="7" fillId="2" borderId="0" xfId="0" applyNumberFormat="1" applyFont="1" applyBorder="1" applyAlignment="1">
      <alignment horizontal="left" vertical="center"/>
    </xf>
    <xf numFmtId="20" fontId="7" fillId="2" borderId="0" xfId="0" applyNumberFormat="1" applyFont="1" applyAlignment="1">
      <alignment horizontal="center" vertical="center"/>
    </xf>
    <xf numFmtId="0" fontId="7" fillId="2" borderId="0" xfId="0" applyFont="1" applyBorder="1" applyAlignment="1">
      <alignment vertical="center"/>
    </xf>
    <xf numFmtId="0" fontId="7" fillId="2" borderId="0" xfId="0" applyFont="1" applyBorder="1" applyAlignment="1">
      <alignment horizontal="right" vertical="center" indent="1"/>
    </xf>
    <xf numFmtId="0" fontId="7" fillId="3" borderId="32" xfId="0" applyFont="1" applyFill="1" applyBorder="1" applyAlignment="1" applyProtection="1">
      <alignment horizontal="center" vertical="center"/>
      <protection hidden="1" locked="0"/>
    </xf>
    <xf numFmtId="0" fontId="7" fillId="2" borderId="0" xfId="0" applyFont="1" applyBorder="1" applyAlignment="1">
      <alignment horizontal="center" vertical="center"/>
    </xf>
    <xf numFmtId="0" fontId="7" fillId="2" borderId="0" xfId="0" applyFont="1" applyBorder="1" applyAlignment="1">
      <alignment horizontal="left" vertical="center" indent="1"/>
    </xf>
    <xf numFmtId="0" fontId="7" fillId="2" borderId="0" xfId="0" applyFont="1" applyAlignment="1">
      <alignment vertical="center"/>
    </xf>
    <xf numFmtId="0" fontId="7" fillId="3" borderId="33" xfId="0" applyFont="1" applyFill="1" applyBorder="1" applyAlignment="1" applyProtection="1">
      <alignment horizontal="center" vertical="center"/>
      <protection hidden="1" locked="0"/>
    </xf>
    <xf numFmtId="203" fontId="7" fillId="2" borderId="0" xfId="0" applyNumberFormat="1" applyFont="1" applyBorder="1" applyAlignment="1">
      <alignment vertical="center"/>
    </xf>
    <xf numFmtId="0" fontId="5" fillId="2" borderId="0" xfId="0" applyFont="1" applyAlignment="1">
      <alignment vertical="center"/>
    </xf>
    <xf numFmtId="0" fontId="7" fillId="2" borderId="0" xfId="0" applyFont="1" applyAlignment="1">
      <alignment/>
    </xf>
    <xf numFmtId="203" fontId="7" fillId="2" borderId="0" xfId="0" applyNumberFormat="1" applyFont="1" applyAlignment="1">
      <alignment/>
    </xf>
    <xf numFmtId="0" fontId="7" fillId="2" borderId="0" xfId="0" applyNumberFormat="1" applyFont="1" applyFill="1" applyAlignment="1">
      <alignment horizontal="center"/>
    </xf>
    <xf numFmtId="203" fontId="7" fillId="2" borderId="0" xfId="0" applyNumberFormat="1" applyFont="1" applyFill="1" applyAlignment="1">
      <alignment horizontal="left"/>
    </xf>
    <xf numFmtId="0" fontId="6" fillId="2" borderId="0" xfId="0" applyFont="1" applyFill="1" applyAlignment="1">
      <alignment/>
    </xf>
    <xf numFmtId="0" fontId="6" fillId="2" borderId="0" xfId="0" applyFont="1" applyFill="1" applyBorder="1" applyAlignment="1">
      <alignment horizontal="center"/>
    </xf>
    <xf numFmtId="0" fontId="6" fillId="2" borderId="0" xfId="0" applyFont="1" applyFill="1" applyAlignment="1">
      <alignment horizontal="center"/>
    </xf>
    <xf numFmtId="0" fontId="6" fillId="2" borderId="0" xfId="0" applyFont="1" applyFill="1" applyAlignment="1">
      <alignment horizontal="right"/>
    </xf>
    <xf numFmtId="0" fontId="6" fillId="2" borderId="0" xfId="0" applyFont="1" applyFill="1" applyAlignment="1">
      <alignment horizontal="left"/>
    </xf>
    <xf numFmtId="0" fontId="6" fillId="2" borderId="0" xfId="0" applyNumberFormat="1" applyFont="1" applyFill="1" applyBorder="1" applyAlignment="1">
      <alignment horizontal="center" vertical="center"/>
    </xf>
    <xf numFmtId="0" fontId="7" fillId="2" borderId="0" xfId="0" applyFont="1" applyFill="1" applyBorder="1" applyAlignment="1">
      <alignment horizontal="center"/>
    </xf>
    <xf numFmtId="0" fontId="7" fillId="2" borderId="0" xfId="0" applyNumberFormat="1" applyFont="1" applyFill="1" applyAlignment="1">
      <alignment horizontal="center" vertical="center"/>
    </xf>
    <xf numFmtId="203" fontId="7" fillId="2" borderId="0" xfId="0" applyNumberFormat="1" applyFont="1" applyFill="1" applyAlignment="1">
      <alignment horizontal="left" vertical="center"/>
    </xf>
    <xf numFmtId="20" fontId="7" fillId="2" borderId="0" xfId="0" applyNumberFormat="1" applyFont="1" applyFill="1" applyAlignment="1">
      <alignment horizontal="center" vertical="center"/>
    </xf>
    <xf numFmtId="0" fontId="7" fillId="2" borderId="0" xfId="0" applyFont="1" applyFill="1" applyBorder="1" applyAlignment="1">
      <alignment horizontal="center" vertical="center"/>
    </xf>
    <xf numFmtId="0" fontId="12" fillId="2" borderId="0" xfId="0" applyFont="1" applyFill="1" applyAlignment="1">
      <alignment horizontal="center" vertical="center"/>
    </xf>
    <xf numFmtId="0" fontId="7" fillId="2" borderId="32" xfId="0" applyFont="1" applyFill="1" applyBorder="1" applyAlignment="1">
      <alignment vertical="center"/>
    </xf>
    <xf numFmtId="0" fontId="7" fillId="2" borderId="32" xfId="0" applyFont="1" applyFill="1" applyBorder="1" applyAlignment="1">
      <alignment horizontal="center" vertical="center"/>
    </xf>
    <xf numFmtId="0" fontId="7" fillId="2" borderId="34" xfId="0" applyFont="1" applyFill="1" applyBorder="1" applyAlignment="1">
      <alignment vertical="center"/>
    </xf>
    <xf numFmtId="0" fontId="7" fillId="2" borderId="34" xfId="0" applyFont="1" applyFill="1" applyBorder="1" applyAlignment="1">
      <alignment horizontal="center" vertical="center"/>
    </xf>
    <xf numFmtId="0" fontId="7" fillId="2" borderId="35" xfId="0" applyFont="1" applyFill="1" applyBorder="1" applyAlignment="1">
      <alignment horizontal="right" vertical="center"/>
    </xf>
    <xf numFmtId="0" fontId="7" fillId="2" borderId="36" xfId="0" applyFont="1" applyFill="1" applyBorder="1" applyAlignment="1">
      <alignment horizontal="center" vertical="center"/>
    </xf>
    <xf numFmtId="0" fontId="7" fillId="2" borderId="37" xfId="0" applyFont="1" applyFill="1" applyBorder="1" applyAlignment="1">
      <alignment horizontal="left" vertical="center"/>
    </xf>
    <xf numFmtId="0" fontId="7" fillId="2" borderId="38" xfId="0" applyFont="1" applyFill="1" applyBorder="1" applyAlignment="1">
      <alignment vertical="center"/>
    </xf>
    <xf numFmtId="0" fontId="7" fillId="2" borderId="38" xfId="0" applyFont="1" applyFill="1" applyBorder="1" applyAlignment="1">
      <alignment horizontal="center" vertical="center"/>
    </xf>
    <xf numFmtId="0" fontId="7" fillId="2" borderId="39" xfId="0" applyFont="1" applyFill="1" applyBorder="1" applyAlignment="1">
      <alignment horizontal="right" vertical="center"/>
    </xf>
    <xf numFmtId="0" fontId="7" fillId="2" borderId="40" xfId="0" applyFont="1" applyFill="1" applyBorder="1" applyAlignment="1">
      <alignment horizontal="left" vertical="center"/>
    </xf>
    <xf numFmtId="0" fontId="7" fillId="2" borderId="41" xfId="0" applyFont="1" applyFill="1" applyBorder="1" applyAlignment="1">
      <alignment horizontal="right" vertical="center"/>
    </xf>
    <xf numFmtId="0" fontId="7" fillId="2" borderId="42" xfId="0" applyFont="1" applyFill="1" applyBorder="1" applyAlignment="1">
      <alignment horizontal="center" vertical="center"/>
    </xf>
    <xf numFmtId="0" fontId="7" fillId="2" borderId="43" xfId="0" applyFont="1" applyFill="1" applyBorder="1" applyAlignment="1">
      <alignment horizontal="left" vertical="center"/>
    </xf>
    <xf numFmtId="0" fontId="7" fillId="2" borderId="34" xfId="0" applyFont="1" applyFill="1" applyBorder="1" applyAlignment="1" applyProtection="1">
      <alignment vertical="center"/>
      <protection/>
    </xf>
    <xf numFmtId="0" fontId="7" fillId="2" borderId="38" xfId="0" applyFont="1" applyFill="1" applyBorder="1" applyAlignment="1" applyProtection="1">
      <alignment vertical="center"/>
      <protection/>
    </xf>
    <xf numFmtId="0" fontId="7" fillId="2" borderId="32" xfId="0" applyFont="1" applyFill="1" applyBorder="1" applyAlignment="1" applyProtection="1">
      <alignment vertical="center"/>
      <protection/>
    </xf>
    <xf numFmtId="0" fontId="2" fillId="2" borderId="10" xfId="0" applyFont="1" applyFill="1" applyBorder="1" applyAlignment="1">
      <alignment horizontal="center" wrapText="1"/>
    </xf>
    <xf numFmtId="0" fontId="3" fillId="2" borderId="10" xfId="0" applyFont="1" applyFill="1" applyBorder="1" applyAlignment="1">
      <alignment horizontal="center"/>
    </xf>
    <xf numFmtId="0" fontId="3" fillId="2" borderId="10" xfId="0" applyFont="1" applyFill="1" applyBorder="1" applyAlignment="1">
      <alignment horizontal="left" wrapText="1"/>
    </xf>
    <xf numFmtId="0" fontId="7" fillId="9" borderId="44" xfId="0" applyFont="1" applyFill="1" applyBorder="1" applyAlignment="1">
      <alignment/>
    </xf>
    <xf numFmtId="0" fontId="7" fillId="9" borderId="45" xfId="0" applyFont="1" applyFill="1" applyBorder="1" applyAlignment="1">
      <alignment/>
    </xf>
    <xf numFmtId="0" fontId="7" fillId="9" borderId="46" xfId="0" applyFont="1" applyFill="1" applyBorder="1" applyAlignment="1">
      <alignment/>
    </xf>
    <xf numFmtId="203" fontId="7" fillId="9" borderId="46" xfId="0" applyNumberFormat="1" applyFont="1" applyFill="1" applyBorder="1" applyAlignment="1">
      <alignment/>
    </xf>
    <xf numFmtId="203" fontId="6" fillId="2" borderId="0" xfId="0" applyNumberFormat="1" applyFont="1" applyFill="1" applyAlignment="1">
      <alignment horizontal="left" vertical="center"/>
    </xf>
    <xf numFmtId="0" fontId="6" fillId="2" borderId="0" xfId="0" applyFont="1" applyFill="1" applyAlignment="1">
      <alignment vertical="center"/>
    </xf>
    <xf numFmtId="0" fontId="6" fillId="2" borderId="0" xfId="0" applyFont="1" applyAlignment="1">
      <alignment/>
    </xf>
    <xf numFmtId="201" fontId="39" fillId="9" borderId="0" xfId="50" applyNumberFormat="1" applyFont="1" applyFill="1" applyBorder="1" applyAlignment="1" applyProtection="1">
      <alignment horizontal="center" vertical="center"/>
      <protection/>
    </xf>
    <xf numFmtId="0" fontId="7" fillId="2" borderId="32" xfId="0" applyFont="1" applyFill="1" applyBorder="1" applyAlignment="1">
      <alignment horizontal="center" vertical="center"/>
    </xf>
    <xf numFmtId="201" fontId="4" fillId="9" borderId="47" xfId="0" applyNumberFormat="1" applyFont="1" applyFill="1" applyBorder="1" applyAlignment="1">
      <alignment horizontal="center" vertical="center"/>
    </xf>
    <xf numFmtId="201" fontId="10" fillId="9" borderId="48" xfId="0" applyNumberFormat="1" applyFont="1" applyFill="1" applyBorder="1" applyAlignment="1">
      <alignment horizontal="center" vertical="center"/>
    </xf>
    <xf numFmtId="201" fontId="10" fillId="9" borderId="49" xfId="0" applyNumberFormat="1" applyFont="1" applyFill="1" applyBorder="1" applyAlignment="1">
      <alignment horizontal="center" vertical="center"/>
    </xf>
    <xf numFmtId="0" fontId="6" fillId="2" borderId="0" xfId="0" applyFont="1" applyFill="1" applyAlignment="1">
      <alignment horizontal="center" vertical="center"/>
    </xf>
    <xf numFmtId="201" fontId="11" fillId="9" borderId="0" xfId="0" applyNumberFormat="1" applyFont="1" applyFill="1" applyBorder="1" applyAlignment="1">
      <alignment horizontal="center" vertical="center"/>
    </xf>
    <xf numFmtId="201" fontId="11" fillId="9" borderId="50" xfId="0" applyNumberFormat="1" applyFont="1" applyFill="1" applyBorder="1" applyAlignment="1">
      <alignment horizontal="center" vertical="center"/>
    </xf>
    <xf numFmtId="0" fontId="14" fillId="2" borderId="36" xfId="0" applyFont="1" applyFill="1" applyBorder="1" applyAlignment="1">
      <alignment vertical="top" wrapText="1"/>
    </xf>
    <xf numFmtId="0" fontId="14" fillId="2" borderId="0" xfId="0" applyFont="1" applyFill="1" applyBorder="1" applyAlignment="1">
      <alignment vertical="top" wrapText="1"/>
    </xf>
    <xf numFmtId="0" fontId="13" fillId="9" borderId="51" xfId="0" applyFont="1" applyFill="1" applyBorder="1" applyAlignment="1">
      <alignment horizontal="center" vertical="center"/>
    </xf>
    <xf numFmtId="0" fontId="13" fillId="9" borderId="52" xfId="0" applyFont="1" applyFill="1" applyBorder="1" applyAlignment="1">
      <alignment horizontal="center" vertical="center"/>
    </xf>
    <xf numFmtId="0" fontId="13" fillId="9" borderId="53" xfId="0" applyFont="1" applyFill="1" applyBorder="1" applyAlignment="1">
      <alignment horizontal="center" vertical="center"/>
    </xf>
    <xf numFmtId="0" fontId="13" fillId="9" borderId="54" xfId="0" applyFont="1" applyFill="1" applyBorder="1" applyAlignment="1">
      <alignment horizontal="center" vertical="center"/>
    </xf>
    <xf numFmtId="0" fontId="13" fillId="9" borderId="55" xfId="0" applyFont="1" applyFill="1" applyBorder="1" applyAlignment="1">
      <alignment horizontal="center" vertical="center"/>
    </xf>
    <xf numFmtId="0" fontId="13" fillId="9" borderId="56" xfId="0" applyFont="1" applyFill="1" applyBorder="1" applyAlignment="1">
      <alignment horizontal="center" vertical="center"/>
    </xf>
    <xf numFmtId="0" fontId="9" fillId="3" borderId="57" xfId="0" applyFont="1" applyFill="1" applyBorder="1" applyAlignment="1" applyProtection="1">
      <alignment horizontal="center" vertical="center"/>
      <protection hidden="1"/>
    </xf>
    <xf numFmtId="0" fontId="9" fillId="3" borderId="0" xfId="0" applyFont="1" applyFill="1" applyBorder="1" applyAlignment="1" applyProtection="1">
      <alignment horizontal="center" vertical="center"/>
      <protection hidden="1"/>
    </xf>
    <xf numFmtId="0" fontId="9" fillId="3" borderId="58" xfId="0" applyFont="1" applyFill="1" applyBorder="1" applyAlignment="1" applyProtection="1">
      <alignment horizontal="center" vertical="center"/>
      <protection hidden="1"/>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2" fillId="2" borderId="10" xfId="0" applyFont="1" applyFill="1" applyBorder="1" applyAlignment="1">
      <alignment horizont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Warnender Text" xfId="61"/>
    <cellStyle name="Zelle überprüfen" xfId="62"/>
  </cellStyles>
  <dxfs count="5">
    <dxf>
      <font>
        <b/>
        <i val="0"/>
        <color indexed="10"/>
      </font>
    </dxf>
    <dxf>
      <font>
        <b/>
        <i val="0"/>
        <color indexed="10"/>
      </font>
    </dxf>
    <dxf>
      <font>
        <b/>
        <i val="0"/>
        <color indexed="10"/>
      </font>
    </dxf>
    <dxf>
      <font>
        <b/>
        <i val="0"/>
        <color indexed="10"/>
      </font>
    </dxf>
    <dxf>
      <font>
        <color indexed="6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FFFFF"/>
      <rgbColor rgb="00FFFF99"/>
      <rgbColor rgb="0099CCFF"/>
      <rgbColor rgb="00FF99CC"/>
      <rgbColor rgb="00CC99FF"/>
      <rgbColor rgb="00FFCC99"/>
      <rgbColor rgb="003366FF"/>
      <rgbColor rgb="0033CCCC"/>
      <rgbColor rgb="00647E42"/>
      <rgbColor rgb="00FFCC00"/>
      <rgbColor rgb="008FAF65"/>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xdr:colOff>
      <xdr:row>1</xdr:row>
      <xdr:rowOff>0</xdr:rowOff>
    </xdr:from>
    <xdr:to>
      <xdr:col>34</xdr:col>
      <xdr:colOff>190500</xdr:colOff>
      <xdr:row>2</xdr:row>
      <xdr:rowOff>28575</xdr:rowOff>
    </xdr:to>
    <xdr:sp>
      <xdr:nvSpPr>
        <xdr:cNvPr id="1" name="Text Box 59"/>
        <xdr:cNvSpPr txBox="1">
          <a:spLocks noChangeArrowheads="1"/>
        </xdr:cNvSpPr>
      </xdr:nvSpPr>
      <xdr:spPr>
        <a:xfrm>
          <a:off x="10972800" y="276225"/>
          <a:ext cx="2019300" cy="16192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Tahoma"/>
              <a:ea typeface="Tahoma"/>
              <a:cs typeface="Tahoma"/>
            </a:rPr>
            <a:t>Punkteverteilungsszenarien
</a:t>
          </a:r>
          <a:r>
            <a:rPr lang="en-US" cap="none" sz="800" b="0" i="0" u="none" baseline="0">
              <a:solidFill>
                <a:srgbClr val="000000"/>
              </a:solidFill>
              <a:latin typeface="Tahoma"/>
              <a:ea typeface="Tahoma"/>
              <a:cs typeface="Tahoma"/>
            </a:rPr>
            <a:t>1: kein Gleichstand, jedes Team hat eine andere Punktzahl*
</a:t>
          </a:r>
          <a:r>
            <a:rPr lang="en-US" cap="none" sz="800" b="0" i="0" u="none" baseline="0">
              <a:solidFill>
                <a:srgbClr val="000000"/>
              </a:solidFill>
              <a:latin typeface="Tahoma"/>
              <a:ea typeface="Tahoma"/>
              <a:cs typeface="Tahoma"/>
            </a:rPr>
            <a:t>2: zwei Teams haben die gleiche Punktzahl 
</a:t>
          </a:r>
          <a:r>
            <a:rPr lang="en-US" cap="none" sz="800" b="0" i="0" u="none" baseline="0">
              <a:solidFill>
                <a:srgbClr val="000000"/>
              </a:solidFill>
              <a:latin typeface="Tahoma"/>
              <a:ea typeface="Tahoma"/>
              <a:cs typeface="Tahoma"/>
            </a:rPr>
            <a:t>3: drei Teams haben die gleiche Punktzahl
</a:t>
          </a:r>
          <a:r>
            <a:rPr lang="en-US" cap="none" sz="800" b="0" i="0" u="none" baseline="0">
              <a:solidFill>
                <a:srgbClr val="000000"/>
              </a:solidFill>
              <a:latin typeface="Tahoma"/>
              <a:ea typeface="Tahoma"/>
              <a:cs typeface="Tahoma"/>
            </a:rPr>
            <a:t>4: je zwei Teams haben die gleiche Punktzahl
</a:t>
          </a:r>
          <a:r>
            <a:rPr lang="en-US" cap="none" sz="800" b="0" i="0" u="none" baseline="0">
              <a:solidFill>
                <a:srgbClr val="000000"/>
              </a:solidFill>
              <a:latin typeface="Tahoma"/>
              <a:ea typeface="Tahoma"/>
              <a:cs typeface="Tahoma"/>
            </a:rPr>
            <a:t>5: alle Teams haben die gleiche Punktzahl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Gesamtpunktzahl aus Punkten, Tordifferenzen und erzielten Toren der ganzen Gruppe</a:t>
          </a:r>
        </a:p>
      </xdr:txBody>
    </xdr:sp>
    <xdr:clientData/>
  </xdr:twoCellAnchor>
  <xdr:twoCellAnchor>
    <xdr:from>
      <xdr:col>6</xdr:col>
      <xdr:colOff>19050</xdr:colOff>
      <xdr:row>1</xdr:row>
      <xdr:rowOff>19050</xdr:rowOff>
    </xdr:from>
    <xdr:to>
      <xdr:col>27</xdr:col>
      <xdr:colOff>19050</xdr:colOff>
      <xdr:row>1</xdr:row>
      <xdr:rowOff>1571625</xdr:rowOff>
    </xdr:to>
    <xdr:sp>
      <xdr:nvSpPr>
        <xdr:cNvPr id="2" name="Text Box 60"/>
        <xdr:cNvSpPr txBox="1">
          <a:spLocks noChangeArrowheads="1"/>
        </xdr:cNvSpPr>
      </xdr:nvSpPr>
      <xdr:spPr>
        <a:xfrm>
          <a:off x="3067050" y="295275"/>
          <a:ext cx="6905625" cy="1552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Tahoma"/>
              <a:ea typeface="Tahoma"/>
              <a:cs typeface="Tahoma"/>
            </a:rPr>
            <a:t>Regelungen der FIFA zur UEFA EURO 2008(TM); Vorrunde (Gruppen)</a:t>
          </a:r>
          <a:r>
            <a:rPr lang="en-US" cap="none" sz="800" b="0" i="0" u="none" baseline="0">
              <a:solidFill>
                <a:srgbClr val="000000"/>
              </a:solidFill>
              <a:latin typeface="Tahoma"/>
              <a:ea typeface="Tahoma"/>
              <a:cs typeface="Tahoma"/>
            </a:rPr>
            <a:t>
</a:t>
          </a:r>
          <a:r>
            <a:rPr lang="en-US" cap="none" sz="900" b="1" i="0" u="none" baseline="0">
              <a:solidFill>
                <a:srgbClr val="000000"/>
              </a:solidFill>
              <a:latin typeface="Calibri"/>
              <a:ea typeface="Calibri"/>
              <a:cs typeface="Calibri"/>
            </a:rPr>
            <a:t>Punktgleichheit nach den Gruppenspielen</a:t>
          </a:r>
          <a:r>
            <a:rPr lang="en-US" cap="none" sz="8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Wenn zwei oder mehr Mannschaften nach Abschluss der Gruppenspiele die gleiche Anzahl Punkte aufweisen, wird die Platzierung nach folgenden Kriterien ermittelt:
a) Höhere Punktzahl aus den Gruppenspielen zwischen den betreffenden Mannschaften. 
b) Bessere Tordifferenz aus den Gruppenspielen zwischen den betreffenden Mannschaften. 
c) Größere Anzahl Tore aus den Gruppenspielen zwischen den betreffenden Mannschaften. 
d) Größere Anzahl Auswärtstore aus den Gruppenspielen zwischen den betreffenden Mannschaften. 
e) Wenn zwei oder mehr Mannschaften nach der Anwendung der Kriterien a) bis d) auf mehrere Mannschaften immer noch denselben Platz belegen, werden die Kriterien a) bis d) erneut angewendet, um die Platzierung dieser Mannschaften zu bestimmen. Führt dieses Vorgehen keine Entscheidung herbei, werden die Kriterien f) und g) angewendet. 
f) Ergebnisse aller Gruppenspiele: 1. bessere Tordifferenz 2. größere Anzahl erzielter Tore 3. größere Anzahl erzielter Auswärtstore 4. Fairplay-Verhalten. 
g) Losentscheid.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ortwetteninfo.d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ortwetteninfo.d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2"/>
  </sheetPr>
  <dimension ref="A1:S37"/>
  <sheetViews>
    <sheetView tabSelected="1" zoomScalePageLayoutView="0" workbookViewId="0" topLeftCell="A2">
      <selection activeCell="J30" sqref="J30:J35"/>
    </sheetView>
  </sheetViews>
  <sheetFormatPr defaultColWidth="9.140625" defaultRowHeight="12.75"/>
  <cols>
    <col min="1" max="1" width="6.00390625" style="109" bestFit="1" customWidth="1"/>
    <col min="2" max="2" width="7.140625" style="109" customWidth="1"/>
    <col min="3" max="3" width="7.8515625" style="110" customWidth="1"/>
    <col min="4" max="4" width="8.7109375" style="78" customWidth="1"/>
    <col min="5" max="5" width="11.7109375" style="78" customWidth="1"/>
    <col min="6" max="6" width="1.57421875" style="78" bestFit="1" customWidth="1"/>
    <col min="7" max="7" width="11.7109375" style="78" customWidth="1"/>
    <col min="8" max="8" width="3.57421875" style="78" customWidth="1"/>
    <col min="9" max="9" width="1.57421875" style="117" bestFit="1" customWidth="1"/>
    <col min="10" max="10" width="3.57421875" style="78" customWidth="1"/>
    <col min="11" max="11" width="3.8515625" style="78" customWidth="1"/>
    <col min="12" max="12" width="2.28125" style="78" customWidth="1"/>
    <col min="13" max="13" width="18.7109375" style="78" customWidth="1"/>
    <col min="14" max="15" width="4.7109375" style="79" bestFit="1" customWidth="1"/>
    <col min="16" max="16" width="4.7109375" style="80" bestFit="1" customWidth="1"/>
    <col min="17" max="17" width="1.57421875" style="79" customWidth="1"/>
    <col min="18" max="18" width="4.7109375" style="81" bestFit="1" customWidth="1"/>
    <col min="19" max="19" width="4.7109375" style="79" bestFit="1" customWidth="1"/>
    <col min="20" max="16384" width="11.421875" style="78" customWidth="1"/>
  </cols>
  <sheetData>
    <row r="1" spans="1:19" ht="36" customHeight="1" thickBot="1">
      <c r="A1" s="152" t="s">
        <v>107</v>
      </c>
      <c r="B1" s="152"/>
      <c r="C1" s="152"/>
      <c r="D1" s="152"/>
      <c r="E1" s="152"/>
      <c r="F1" s="152"/>
      <c r="G1" s="152"/>
      <c r="H1" s="152"/>
      <c r="I1" s="152"/>
      <c r="J1" s="152"/>
      <c r="K1" s="152"/>
      <c r="L1" s="152"/>
      <c r="M1" s="152"/>
      <c r="N1" s="152"/>
      <c r="O1" s="152"/>
      <c r="P1" s="152"/>
      <c r="Q1" s="152"/>
      <c r="R1" s="152"/>
      <c r="S1" s="152"/>
    </row>
    <row r="2" spans="1:19" s="89" customFormat="1" ht="21.75" customHeight="1">
      <c r="A2" s="153" t="s">
        <v>39</v>
      </c>
      <c r="B2" s="153"/>
      <c r="C2" s="153"/>
      <c r="D2" s="153"/>
      <c r="E2" s="153"/>
      <c r="F2" s="153"/>
      <c r="G2" s="153"/>
      <c r="H2" s="153"/>
      <c r="I2" s="153"/>
      <c r="J2" s="153"/>
      <c r="K2" s="153"/>
      <c r="L2" s="153"/>
      <c r="M2" s="153"/>
      <c r="N2" s="153"/>
      <c r="O2" s="153"/>
      <c r="P2" s="153"/>
      <c r="Q2" s="153"/>
      <c r="R2" s="153"/>
      <c r="S2" s="154"/>
    </row>
    <row r="3" spans="1:19" s="111" customFormat="1" ht="5.25" customHeight="1">
      <c r="A3" s="109"/>
      <c r="B3" s="109"/>
      <c r="C3" s="110"/>
      <c r="D3" s="78"/>
      <c r="I3" s="112"/>
      <c r="N3" s="113"/>
      <c r="O3" s="113"/>
      <c r="P3" s="114"/>
      <c r="Q3" s="113"/>
      <c r="R3" s="115"/>
      <c r="S3" s="113"/>
    </row>
    <row r="4" spans="1:19" s="89" customFormat="1" ht="15" customHeight="1">
      <c r="A4" s="116" t="s">
        <v>46</v>
      </c>
      <c r="B4" s="147" t="s">
        <v>47</v>
      </c>
      <c r="C4" s="147" t="s">
        <v>95</v>
      </c>
      <c r="D4" s="148" t="s">
        <v>105</v>
      </c>
      <c r="E4" s="155" t="s">
        <v>106</v>
      </c>
      <c r="F4" s="155"/>
      <c r="G4" s="155"/>
      <c r="I4" s="121"/>
      <c r="N4" s="90"/>
      <c r="O4" s="90"/>
      <c r="P4" s="91"/>
      <c r="Q4" s="90"/>
      <c r="R4" s="92"/>
      <c r="S4" s="90"/>
    </row>
    <row r="5" spans="1:19" s="89" customFormat="1" ht="18" customHeight="1">
      <c r="A5" s="156" t="str">
        <f>Text!B2</f>
        <v>GRUPPE A</v>
      </c>
      <c r="B5" s="156"/>
      <c r="C5" s="156"/>
      <c r="D5" s="156"/>
      <c r="E5" s="156"/>
      <c r="F5" s="156"/>
      <c r="G5" s="156"/>
      <c r="H5" s="156"/>
      <c r="I5" s="156"/>
      <c r="J5" s="156"/>
      <c r="K5" s="156"/>
      <c r="L5" s="156"/>
      <c r="M5" s="156"/>
      <c r="N5" s="156"/>
      <c r="O5" s="156"/>
      <c r="P5" s="156"/>
      <c r="Q5" s="156"/>
      <c r="R5" s="156"/>
      <c r="S5" s="157"/>
    </row>
    <row r="6" spans="1:19" s="89" customFormat="1" ht="12" customHeight="1">
      <c r="A6" s="118">
        <v>1</v>
      </c>
      <c r="B6" s="119">
        <v>39606</v>
      </c>
      <c r="C6" s="120">
        <v>0.75</v>
      </c>
      <c r="D6" s="89" t="s">
        <v>91</v>
      </c>
      <c r="E6" s="91" t="str">
        <f>Text!B3</f>
        <v>Schweiz</v>
      </c>
      <c r="F6" s="89" t="s">
        <v>0</v>
      </c>
      <c r="G6" s="89" t="str">
        <f>Text!B4</f>
        <v>Tschechien</v>
      </c>
      <c r="H6" s="100"/>
      <c r="I6" s="121" t="s">
        <v>0</v>
      </c>
      <c r="J6" s="100"/>
      <c r="L6" s="122" t="b">
        <f>(Berechnung!AD10=Text!B$42)</f>
        <v>0</v>
      </c>
      <c r="M6" s="123" t="s">
        <v>101</v>
      </c>
      <c r="N6" s="124" t="str">
        <f>Text!A$33</f>
        <v>Sp.</v>
      </c>
      <c r="O6" s="124" t="str">
        <f>Text!A$34</f>
        <v>Pkte.</v>
      </c>
      <c r="P6" s="151" t="str">
        <f>Text!A$38</f>
        <v>Tore</v>
      </c>
      <c r="Q6" s="151"/>
      <c r="R6" s="151"/>
      <c r="S6" s="124" t="str">
        <f>Text!A$37</f>
        <v>Diff.</v>
      </c>
    </row>
    <row r="7" spans="1:19" s="89" customFormat="1" ht="12" customHeight="1">
      <c r="A7" s="118">
        <v>2</v>
      </c>
      <c r="B7" s="119">
        <v>39606</v>
      </c>
      <c r="C7" s="120">
        <v>0.8645833333333334</v>
      </c>
      <c r="D7" s="89" t="s">
        <v>92</v>
      </c>
      <c r="E7" s="91" t="str">
        <f>Text!B5</f>
        <v>Portugal</v>
      </c>
      <c r="F7" s="89" t="s">
        <v>0</v>
      </c>
      <c r="G7" s="89" t="str">
        <f>Text!B6</f>
        <v>Türkei</v>
      </c>
      <c r="H7" s="104"/>
      <c r="I7" s="121" t="s">
        <v>0</v>
      </c>
      <c r="J7" s="104"/>
      <c r="K7" s="122">
        <f>IF(L6,L7,1)</f>
        <v>1</v>
      </c>
      <c r="L7" s="137">
        <v>1</v>
      </c>
      <c r="M7" s="125" t="str">
        <f>INDEX(Berechnung!V6:AA9,MATCH(K7,Berechnung!AD6:AD9,0),1)</f>
        <v>Schweiz</v>
      </c>
      <c r="N7" s="126">
        <f>INDEX(Berechnung!V6:AA9,MATCH(K7,Berechnung!AD6:AD9,0),2)</f>
        <v>0</v>
      </c>
      <c r="O7" s="126">
        <f>INDEX(Berechnung!V6:AA9,MATCH(K7,Berechnung!AD6:AD9,0),3)</f>
        <v>0</v>
      </c>
      <c r="P7" s="127">
        <f>INDEX(Berechnung!V6:AA9,MATCH(K7,Berechnung!AD6:AD9,0),4)</f>
        <v>0</v>
      </c>
      <c r="Q7" s="128" t="s">
        <v>0</v>
      </c>
      <c r="R7" s="129">
        <f>INDEX(Berechnung!V6:AA9,MATCH(K7,Berechnung!AD6:AD9,0),5)</f>
        <v>0</v>
      </c>
      <c r="S7" s="126">
        <f>INDEX(Berechnung!V6:AA9,MATCH(K7,Berechnung!AD6:AD9,0),6)</f>
        <v>0</v>
      </c>
    </row>
    <row r="8" spans="1:19" s="89" customFormat="1" ht="12" customHeight="1">
      <c r="A8" s="118">
        <v>9</v>
      </c>
      <c r="B8" s="119">
        <v>39610</v>
      </c>
      <c r="C8" s="120">
        <v>0.75</v>
      </c>
      <c r="D8" s="89" t="s">
        <v>92</v>
      </c>
      <c r="E8" s="91" t="str">
        <f>Text!B4</f>
        <v>Tschechien</v>
      </c>
      <c r="F8" s="89" t="s">
        <v>0</v>
      </c>
      <c r="G8" s="89" t="str">
        <f>Text!B5</f>
        <v>Portugal</v>
      </c>
      <c r="H8" s="104"/>
      <c r="I8" s="121" t="s">
        <v>0</v>
      </c>
      <c r="J8" s="104"/>
      <c r="K8" s="122">
        <f>IF(L6,L8,2)</f>
        <v>2</v>
      </c>
      <c r="L8" s="138">
        <v>2</v>
      </c>
      <c r="M8" s="130" t="str">
        <f>INDEX(Berechnung!V6:AA9,MATCH(K8,Berechnung!AD6:AD9,0),1)</f>
        <v>Tschechien</v>
      </c>
      <c r="N8" s="131">
        <f>INDEX(Berechnung!V6:AA9,MATCH(K8,Berechnung!AD6:AD9,0),2)</f>
        <v>0</v>
      </c>
      <c r="O8" s="131">
        <f>INDEX(Berechnung!V6:AA9,MATCH(K8,Berechnung!AD6:AD9,0),3)</f>
        <v>0</v>
      </c>
      <c r="P8" s="132">
        <f>INDEX(Berechnung!V6:AA9,MATCH(K8,Berechnung!AD6:AD9,0),4)</f>
        <v>0</v>
      </c>
      <c r="Q8" s="121" t="s">
        <v>0</v>
      </c>
      <c r="R8" s="133">
        <f>INDEX(Berechnung!V6:AA9,MATCH(K8,Berechnung!AD6:AD9,0),5)</f>
        <v>0</v>
      </c>
      <c r="S8" s="131">
        <f>INDEX(Berechnung!V6:AA9,MATCH(K8,Berechnung!AD6:AD9,0),6)</f>
        <v>0</v>
      </c>
    </row>
    <row r="9" spans="1:19" s="89" customFormat="1" ht="12" customHeight="1">
      <c r="A9" s="118">
        <v>10</v>
      </c>
      <c r="B9" s="119">
        <v>39610</v>
      </c>
      <c r="C9" s="120">
        <v>0.8645833333333334</v>
      </c>
      <c r="D9" s="89" t="s">
        <v>91</v>
      </c>
      <c r="E9" s="91" t="str">
        <f>Text!B3</f>
        <v>Schweiz</v>
      </c>
      <c r="F9" s="89" t="s">
        <v>0</v>
      </c>
      <c r="G9" s="89" t="str">
        <f>Text!B6</f>
        <v>Türkei</v>
      </c>
      <c r="H9" s="104"/>
      <c r="I9" s="121" t="s">
        <v>0</v>
      </c>
      <c r="J9" s="104"/>
      <c r="K9" s="122">
        <f>IF(L6,L9,3)</f>
        <v>3</v>
      </c>
      <c r="L9" s="138">
        <v>3</v>
      </c>
      <c r="M9" s="130" t="str">
        <f>INDEX(Berechnung!V6:AA9,MATCH(K9,Berechnung!AD6:AD9,0),1)</f>
        <v>Portugal</v>
      </c>
      <c r="N9" s="131">
        <f>INDEX(Berechnung!V6:AA9,MATCH(K9,Berechnung!AD6:AD9,0),2)</f>
        <v>0</v>
      </c>
      <c r="O9" s="131">
        <f>INDEX(Berechnung!V6:AA9,MATCH(K9,Berechnung!AD6:AD9,0),3)</f>
        <v>0</v>
      </c>
      <c r="P9" s="132">
        <f>INDEX(Berechnung!V6:AA9,MATCH(K9,Berechnung!AD6:AD9,0),4)</f>
        <v>0</v>
      </c>
      <c r="Q9" s="121" t="s">
        <v>0</v>
      </c>
      <c r="R9" s="133">
        <f>INDEX(Berechnung!V6:AA9,MATCH(K9,Berechnung!AD6:AD9,0),5)</f>
        <v>0</v>
      </c>
      <c r="S9" s="131">
        <f>INDEX(Berechnung!V6:AA9,MATCH(K9,Berechnung!AD6:AD9,0),6)</f>
        <v>0</v>
      </c>
    </row>
    <row r="10" spans="1:19" s="89" customFormat="1" ht="12" customHeight="1">
      <c r="A10" s="118">
        <v>17</v>
      </c>
      <c r="B10" s="119">
        <v>39614</v>
      </c>
      <c r="C10" s="120">
        <v>0.8645833333333334</v>
      </c>
      <c r="D10" s="89" t="s">
        <v>91</v>
      </c>
      <c r="E10" s="91" t="str">
        <f>Text!B3</f>
        <v>Schweiz</v>
      </c>
      <c r="F10" s="89" t="s">
        <v>0</v>
      </c>
      <c r="G10" s="89" t="str">
        <f>Text!B5</f>
        <v>Portugal</v>
      </c>
      <c r="H10" s="104"/>
      <c r="I10" s="121" t="s">
        <v>0</v>
      </c>
      <c r="J10" s="104"/>
      <c r="K10" s="122">
        <f>IF(L6,L10,4)</f>
        <v>4</v>
      </c>
      <c r="L10" s="139">
        <f>IF(AND(Berechnung!W10,Berechnung!AD10=Text!B$41),3,4)</f>
        <v>4</v>
      </c>
      <c r="M10" s="123" t="str">
        <f>INDEX(Berechnung!V6:AA9,MATCH(K10,Berechnung!AD6:AD9,0),1)</f>
        <v>Türkei</v>
      </c>
      <c r="N10" s="124">
        <f>INDEX(Berechnung!V6:AA9,MATCH(K10,Berechnung!AD6:AD9,0),2)</f>
        <v>0</v>
      </c>
      <c r="O10" s="124">
        <f>INDEX(Berechnung!V6:AA9,MATCH(K10,Berechnung!AD6:AD9,0),3)</f>
        <v>0</v>
      </c>
      <c r="P10" s="134">
        <f>INDEX(Berechnung!V6:AA9,MATCH(K10,Berechnung!AD6:AD9,0),4)</f>
        <v>0</v>
      </c>
      <c r="Q10" s="135" t="s">
        <v>0</v>
      </c>
      <c r="R10" s="136">
        <f>INDEX(Berechnung!V6:AA9,MATCH(K10,Berechnung!AD6:AD9,0),5)</f>
        <v>0</v>
      </c>
      <c r="S10" s="124">
        <f>INDEX(Berechnung!V6:AA9,MATCH(K10,Berechnung!AD6:AD9,0),6)</f>
        <v>0</v>
      </c>
    </row>
    <row r="11" spans="1:19" s="89" customFormat="1" ht="12" customHeight="1">
      <c r="A11" s="118">
        <v>18</v>
      </c>
      <c r="B11" s="119">
        <v>39614</v>
      </c>
      <c r="C11" s="120">
        <v>0.8645833333333334</v>
      </c>
      <c r="D11" s="89" t="s">
        <v>92</v>
      </c>
      <c r="E11" s="91" t="str">
        <f>Text!B6</f>
        <v>Türkei</v>
      </c>
      <c r="F11" s="89" t="s">
        <v>0</v>
      </c>
      <c r="G11" s="89" t="str">
        <f>Text!B4</f>
        <v>Tschechien</v>
      </c>
      <c r="H11" s="104"/>
      <c r="I11" s="121" t="s">
        <v>0</v>
      </c>
      <c r="J11" s="104"/>
      <c r="L11" s="158">
        <f>IF(L6,Text!B$43,"")</f>
      </c>
      <c r="M11" s="158"/>
      <c r="N11" s="158"/>
      <c r="O11" s="158"/>
      <c r="P11" s="158"/>
      <c r="Q11" s="158"/>
      <c r="R11" s="158"/>
      <c r="S11" s="158"/>
    </row>
    <row r="12" spans="1:19" s="89" customFormat="1" ht="12" customHeight="1">
      <c r="A12" s="118"/>
      <c r="B12" s="118"/>
      <c r="C12" s="119"/>
      <c r="E12" s="91"/>
      <c r="I12" s="121"/>
      <c r="L12" s="159"/>
      <c r="M12" s="159"/>
      <c r="N12" s="159"/>
      <c r="O12" s="159"/>
      <c r="P12" s="159"/>
      <c r="Q12" s="159"/>
      <c r="R12" s="159"/>
      <c r="S12" s="159"/>
    </row>
    <row r="13" spans="1:19" s="89" customFormat="1" ht="18" customHeight="1">
      <c r="A13" s="156" t="str">
        <f>Text!B10</f>
        <v>GRUPPE B</v>
      </c>
      <c r="B13" s="156"/>
      <c r="C13" s="156"/>
      <c r="D13" s="156"/>
      <c r="E13" s="156"/>
      <c r="F13" s="156"/>
      <c r="G13" s="156"/>
      <c r="H13" s="156"/>
      <c r="I13" s="156"/>
      <c r="J13" s="156"/>
      <c r="K13" s="156"/>
      <c r="L13" s="156"/>
      <c r="M13" s="156"/>
      <c r="N13" s="156"/>
      <c r="O13" s="156"/>
      <c r="P13" s="156"/>
      <c r="Q13" s="156"/>
      <c r="R13" s="156"/>
      <c r="S13" s="157"/>
    </row>
    <row r="14" spans="1:19" s="89" customFormat="1" ht="12" customHeight="1">
      <c r="A14" s="118">
        <v>3</v>
      </c>
      <c r="B14" s="119">
        <v>39607</v>
      </c>
      <c r="C14" s="120">
        <v>0.75</v>
      </c>
      <c r="D14" s="89" t="s">
        <v>93</v>
      </c>
      <c r="E14" s="91" t="str">
        <f>Text!B11</f>
        <v>Österreich</v>
      </c>
      <c r="F14" s="89" t="s">
        <v>0</v>
      </c>
      <c r="G14" s="89" t="str">
        <f>Text!B12</f>
        <v>Kroatien</v>
      </c>
      <c r="H14" s="100"/>
      <c r="I14" s="121" t="s">
        <v>0</v>
      </c>
      <c r="J14" s="100"/>
      <c r="L14" s="122" t="b">
        <f>(Berechnung!AD18=Text!B$42)</f>
        <v>0</v>
      </c>
      <c r="M14" s="123" t="s">
        <v>104</v>
      </c>
      <c r="N14" s="124" t="str">
        <f>Text!A$33</f>
        <v>Sp.</v>
      </c>
      <c r="O14" s="124" t="str">
        <f>Text!A$34</f>
        <v>Pkte.</v>
      </c>
      <c r="P14" s="151" t="str">
        <f>Text!A$38</f>
        <v>Tore</v>
      </c>
      <c r="Q14" s="151"/>
      <c r="R14" s="151"/>
      <c r="S14" s="124" t="str">
        <f>Text!A$37</f>
        <v>Diff.</v>
      </c>
    </row>
    <row r="15" spans="1:19" s="89" customFormat="1" ht="12" customHeight="1">
      <c r="A15" s="118">
        <v>4</v>
      </c>
      <c r="B15" s="119">
        <v>39607</v>
      </c>
      <c r="C15" s="120">
        <v>0.8645833333333334</v>
      </c>
      <c r="D15" s="89" t="s">
        <v>94</v>
      </c>
      <c r="E15" s="91" t="str">
        <f>Text!B13</f>
        <v>Deutschland</v>
      </c>
      <c r="F15" s="89" t="s">
        <v>0</v>
      </c>
      <c r="G15" s="89" t="str">
        <f>Text!B14</f>
        <v>Polen</v>
      </c>
      <c r="H15" s="104"/>
      <c r="I15" s="121" t="s">
        <v>0</v>
      </c>
      <c r="J15" s="104"/>
      <c r="K15" s="122">
        <f>IF(L14,L15,1)</f>
        <v>1</v>
      </c>
      <c r="L15" s="137">
        <v>1</v>
      </c>
      <c r="M15" s="125" t="str">
        <f>INDEX(Berechnung!V14:AA17,MATCH(K15,Berechnung!AD14:AD17,0),1)</f>
        <v>Österreich</v>
      </c>
      <c r="N15" s="126">
        <f>INDEX(Berechnung!V14:AA17,MATCH(K15,Berechnung!AD14:AD17,0),2)</f>
        <v>0</v>
      </c>
      <c r="O15" s="126">
        <f>INDEX(Berechnung!V14:AA17,MATCH(K15,Berechnung!AD14:AD17,0),3)</f>
        <v>0</v>
      </c>
      <c r="P15" s="127">
        <f>INDEX(Berechnung!V14:AA17,MATCH(K15,Berechnung!AD14:AD17,0),4)</f>
        <v>0</v>
      </c>
      <c r="Q15" s="128" t="s">
        <v>0</v>
      </c>
      <c r="R15" s="129">
        <f>INDEX(Berechnung!V14:AA17,MATCH(K15,Berechnung!AD14:AD17,0),5)</f>
        <v>0</v>
      </c>
      <c r="S15" s="126">
        <f>INDEX(Berechnung!V14:AA17,MATCH(K15,Berechnung!AD14:AD17,0),6)</f>
        <v>0</v>
      </c>
    </row>
    <row r="16" spans="1:19" s="89" customFormat="1" ht="12" customHeight="1">
      <c r="A16" s="118">
        <v>11</v>
      </c>
      <c r="B16" s="119">
        <v>39611</v>
      </c>
      <c r="C16" s="120">
        <v>0.75</v>
      </c>
      <c r="D16" s="89" t="s">
        <v>94</v>
      </c>
      <c r="E16" s="91" t="str">
        <f>Text!B12</f>
        <v>Kroatien</v>
      </c>
      <c r="F16" s="89" t="s">
        <v>0</v>
      </c>
      <c r="G16" s="89" t="str">
        <f>Text!B13</f>
        <v>Deutschland</v>
      </c>
      <c r="H16" s="104"/>
      <c r="I16" s="121" t="s">
        <v>0</v>
      </c>
      <c r="J16" s="104"/>
      <c r="K16" s="122">
        <f>IF(L14,L16,2)</f>
        <v>2</v>
      </c>
      <c r="L16" s="138">
        <v>2</v>
      </c>
      <c r="M16" s="130" t="str">
        <f>INDEX(Berechnung!V14:AA17,MATCH(K16,Berechnung!AD14:AD17,0),1)</f>
        <v>Kroatien</v>
      </c>
      <c r="N16" s="131">
        <f>INDEX(Berechnung!V14:AA17,MATCH(K16,Berechnung!AD14:AD17,0),2)</f>
        <v>0</v>
      </c>
      <c r="O16" s="131">
        <f>INDEX(Berechnung!V14:AA17,MATCH(K16,Berechnung!AD14:AD17,0),3)</f>
        <v>0</v>
      </c>
      <c r="P16" s="132">
        <f>INDEX(Berechnung!V14:AA17,MATCH(K16,Berechnung!AD14:AD17,0),4)</f>
        <v>0</v>
      </c>
      <c r="Q16" s="121" t="s">
        <v>0</v>
      </c>
      <c r="R16" s="133">
        <f>INDEX(Berechnung!V14:AA17,MATCH(K16,Berechnung!AD14:AD17,0),5)</f>
        <v>0</v>
      </c>
      <c r="S16" s="131">
        <f>INDEX(Berechnung!V14:AA17,MATCH(K16,Berechnung!AD14:AD17,0),6)</f>
        <v>0</v>
      </c>
    </row>
    <row r="17" spans="1:19" s="89" customFormat="1" ht="12" customHeight="1">
      <c r="A17" s="118">
        <v>12</v>
      </c>
      <c r="B17" s="119">
        <v>39611</v>
      </c>
      <c r="C17" s="120">
        <v>0.8645833333333334</v>
      </c>
      <c r="D17" s="89" t="s">
        <v>93</v>
      </c>
      <c r="E17" s="91" t="str">
        <f>Text!B11</f>
        <v>Österreich</v>
      </c>
      <c r="F17" s="89" t="s">
        <v>0</v>
      </c>
      <c r="G17" s="89" t="str">
        <f>Text!B14</f>
        <v>Polen</v>
      </c>
      <c r="H17" s="104"/>
      <c r="I17" s="121" t="s">
        <v>0</v>
      </c>
      <c r="J17" s="104"/>
      <c r="K17" s="122">
        <f>IF(L14,L17,3)</f>
        <v>3</v>
      </c>
      <c r="L17" s="138">
        <v>3</v>
      </c>
      <c r="M17" s="130" t="str">
        <f>INDEX(Berechnung!V14:AA17,MATCH(K17,Berechnung!AD14:AD17,0),1)</f>
        <v>Deutschland</v>
      </c>
      <c r="N17" s="131">
        <f>INDEX(Berechnung!V14:AA17,MATCH(K17,Berechnung!AD14:AD17,0),2)</f>
        <v>0</v>
      </c>
      <c r="O17" s="131">
        <f>INDEX(Berechnung!V14:AA17,MATCH(K17,Berechnung!AD14:AD17,0),3)</f>
        <v>0</v>
      </c>
      <c r="P17" s="132">
        <f>INDEX(Berechnung!V14:AA17,MATCH(K17,Berechnung!AD14:AD17,0),4)</f>
        <v>0</v>
      </c>
      <c r="Q17" s="121" t="s">
        <v>0</v>
      </c>
      <c r="R17" s="133">
        <f>INDEX(Berechnung!V14:AA17,MATCH(K17,Berechnung!AD14:AD17,0),5)</f>
        <v>0</v>
      </c>
      <c r="S17" s="131">
        <f>INDEX(Berechnung!V14:AA17,MATCH(K17,Berechnung!AD14:AD17,0),6)</f>
        <v>0</v>
      </c>
    </row>
    <row r="18" spans="1:19" s="89" customFormat="1" ht="12" customHeight="1">
      <c r="A18" s="118">
        <v>19</v>
      </c>
      <c r="B18" s="119">
        <v>39615</v>
      </c>
      <c r="C18" s="120">
        <v>0.8645833333333334</v>
      </c>
      <c r="D18" s="89" t="s">
        <v>94</v>
      </c>
      <c r="E18" s="91" t="str">
        <f>Text!B14</f>
        <v>Polen</v>
      </c>
      <c r="F18" s="89" t="s">
        <v>0</v>
      </c>
      <c r="G18" s="89" t="str">
        <f>Text!B12</f>
        <v>Kroatien</v>
      </c>
      <c r="H18" s="104"/>
      <c r="I18" s="121" t="s">
        <v>0</v>
      </c>
      <c r="J18" s="104"/>
      <c r="K18" s="122">
        <f>IF(L14,L18,4)</f>
        <v>4</v>
      </c>
      <c r="L18" s="139">
        <f>IF(AND(Berechnung!W18,Berechnung!AD18=Text!B$41),3,4)</f>
        <v>4</v>
      </c>
      <c r="M18" s="123" t="str">
        <f>INDEX(Berechnung!V14:AA17,MATCH(K18,Berechnung!AD14:AD17,0),1)</f>
        <v>Polen</v>
      </c>
      <c r="N18" s="124">
        <f>INDEX(Berechnung!V14:AA17,MATCH(K18,Berechnung!AD14:AD17,0),2)</f>
        <v>0</v>
      </c>
      <c r="O18" s="124">
        <f>INDEX(Berechnung!V14:AA17,MATCH(K18,Berechnung!AD14:AD17,0),3)</f>
        <v>0</v>
      </c>
      <c r="P18" s="134">
        <f>INDEX(Berechnung!V14:AA17,MATCH(K18,Berechnung!AD14:AD17,0),4)</f>
        <v>0</v>
      </c>
      <c r="Q18" s="135" t="s">
        <v>0</v>
      </c>
      <c r="R18" s="136">
        <f>INDEX(Berechnung!V14:AA17,MATCH(K18,Berechnung!AD14:AD17,0),5)</f>
        <v>0</v>
      </c>
      <c r="S18" s="124">
        <f>INDEX(Berechnung!V14:AA17,MATCH(K18,Berechnung!AD14:AD17,0),6)</f>
        <v>0</v>
      </c>
    </row>
    <row r="19" spans="1:19" s="89" customFormat="1" ht="12" customHeight="1">
      <c r="A19" s="118">
        <v>20</v>
      </c>
      <c r="B19" s="119">
        <v>39615</v>
      </c>
      <c r="C19" s="120">
        <v>0.8645833333333334</v>
      </c>
      <c r="D19" s="89" t="s">
        <v>93</v>
      </c>
      <c r="E19" s="91" t="str">
        <f>Text!B11</f>
        <v>Österreich</v>
      </c>
      <c r="F19" s="89" t="s">
        <v>0</v>
      </c>
      <c r="G19" s="89" t="str">
        <f>Text!B13</f>
        <v>Deutschland</v>
      </c>
      <c r="H19" s="104"/>
      <c r="I19" s="121" t="s">
        <v>0</v>
      </c>
      <c r="J19" s="104"/>
      <c r="L19" s="158">
        <f>IF(L14,Text!B$43,"")</f>
      </c>
      <c r="M19" s="158"/>
      <c r="N19" s="158"/>
      <c r="O19" s="158"/>
      <c r="P19" s="158"/>
      <c r="Q19" s="158"/>
      <c r="R19" s="158"/>
      <c r="S19" s="158"/>
    </row>
    <row r="20" spans="1:19" s="89" customFormat="1" ht="12" customHeight="1">
      <c r="A20" s="118"/>
      <c r="B20" s="118"/>
      <c r="C20" s="119"/>
      <c r="E20" s="91"/>
      <c r="I20" s="121"/>
      <c r="L20" s="159"/>
      <c r="M20" s="159"/>
      <c r="N20" s="159"/>
      <c r="O20" s="159"/>
      <c r="P20" s="159"/>
      <c r="Q20" s="159"/>
      <c r="R20" s="159"/>
      <c r="S20" s="159"/>
    </row>
    <row r="21" spans="1:19" s="89" customFormat="1" ht="18" customHeight="1">
      <c r="A21" s="156" t="str">
        <f>Text!B18</f>
        <v>GRUPPE C</v>
      </c>
      <c r="B21" s="156"/>
      <c r="C21" s="156"/>
      <c r="D21" s="156"/>
      <c r="E21" s="156"/>
      <c r="F21" s="156"/>
      <c r="G21" s="156"/>
      <c r="H21" s="156"/>
      <c r="I21" s="156"/>
      <c r="J21" s="156"/>
      <c r="K21" s="156"/>
      <c r="L21" s="156"/>
      <c r="M21" s="156"/>
      <c r="N21" s="156"/>
      <c r="O21" s="156"/>
      <c r="P21" s="156"/>
      <c r="Q21" s="156"/>
      <c r="R21" s="156"/>
      <c r="S21" s="157"/>
    </row>
    <row r="22" spans="1:19" s="89" customFormat="1" ht="12" customHeight="1">
      <c r="A22" s="118">
        <v>5</v>
      </c>
      <c r="B22" s="119">
        <v>39608</v>
      </c>
      <c r="C22" s="120">
        <v>0.75</v>
      </c>
      <c r="D22" s="89" t="s">
        <v>96</v>
      </c>
      <c r="E22" s="91" t="str">
        <f>Text!B21</f>
        <v>Rumänien</v>
      </c>
      <c r="F22" s="89" t="s">
        <v>0</v>
      </c>
      <c r="G22" s="89" t="str">
        <f>Text!B22</f>
        <v>Frankreich</v>
      </c>
      <c r="H22" s="100"/>
      <c r="I22" s="121" t="s">
        <v>0</v>
      </c>
      <c r="J22" s="100"/>
      <c r="L22" s="122" t="b">
        <f>(Berechnung!AD26=Text!B$42)</f>
        <v>0</v>
      </c>
      <c r="M22" s="123" t="s">
        <v>103</v>
      </c>
      <c r="N22" s="124" t="str">
        <f>Text!A$33</f>
        <v>Sp.</v>
      </c>
      <c r="O22" s="124" t="str">
        <f>Text!A$34</f>
        <v>Pkte.</v>
      </c>
      <c r="P22" s="151" t="str">
        <f>Text!A$38</f>
        <v>Tore</v>
      </c>
      <c r="Q22" s="151"/>
      <c r="R22" s="151"/>
      <c r="S22" s="124" t="str">
        <f>Text!A$37</f>
        <v>Diff.</v>
      </c>
    </row>
    <row r="23" spans="1:19" s="89" customFormat="1" ht="12" customHeight="1">
      <c r="A23" s="118">
        <v>6</v>
      </c>
      <c r="B23" s="119">
        <v>39608</v>
      </c>
      <c r="C23" s="120">
        <v>0.8645833333333334</v>
      </c>
      <c r="D23" s="89" t="s">
        <v>97</v>
      </c>
      <c r="E23" s="91" t="str">
        <f>Text!B19</f>
        <v>Niederlande</v>
      </c>
      <c r="F23" s="89" t="s">
        <v>0</v>
      </c>
      <c r="G23" s="89" t="str">
        <f>Text!B20</f>
        <v>Italien</v>
      </c>
      <c r="H23" s="104"/>
      <c r="I23" s="121" t="s">
        <v>0</v>
      </c>
      <c r="J23" s="104"/>
      <c r="K23" s="122">
        <f>IF(L22,L23,1)</f>
        <v>1</v>
      </c>
      <c r="L23" s="137">
        <v>1</v>
      </c>
      <c r="M23" s="125" t="str">
        <f>INDEX(Berechnung!V22:AA25,MATCH(K23,Berechnung!AD22:AD25,0),1)</f>
        <v>Niederlande</v>
      </c>
      <c r="N23" s="126">
        <f>INDEX(Berechnung!V22:AA25,MATCH(K23,Berechnung!AD22:AD25,0),2)</f>
        <v>0</v>
      </c>
      <c r="O23" s="126">
        <f>INDEX(Berechnung!V22:AA25,MATCH(K23,Berechnung!AD22:AD25,0),3)</f>
        <v>0</v>
      </c>
      <c r="P23" s="127">
        <f>INDEX(Berechnung!V22:AA25,MATCH(K23,Berechnung!AD22:AD25,0),4)</f>
        <v>0</v>
      </c>
      <c r="Q23" s="128" t="s">
        <v>0</v>
      </c>
      <c r="R23" s="129">
        <f>INDEX(Berechnung!V22:AA25,MATCH(K23,Berechnung!AD22:AD25,0),5)</f>
        <v>0</v>
      </c>
      <c r="S23" s="126">
        <f>INDEX(Berechnung!V22:AA25,MATCH(K23,Berechnung!AD22:AD25,0),6)</f>
        <v>0</v>
      </c>
    </row>
    <row r="24" spans="1:19" s="89" customFormat="1" ht="12" customHeight="1">
      <c r="A24" s="118">
        <v>13</v>
      </c>
      <c r="B24" s="119">
        <v>39612</v>
      </c>
      <c r="C24" s="120">
        <v>0.75</v>
      </c>
      <c r="D24" s="89" t="s">
        <v>96</v>
      </c>
      <c r="E24" s="91" t="str">
        <f>Text!B20</f>
        <v>Italien</v>
      </c>
      <c r="F24" s="89" t="s">
        <v>0</v>
      </c>
      <c r="G24" s="89" t="str">
        <f>Text!B21</f>
        <v>Rumänien</v>
      </c>
      <c r="H24" s="104"/>
      <c r="I24" s="121" t="s">
        <v>0</v>
      </c>
      <c r="J24" s="104"/>
      <c r="K24" s="122">
        <f>IF(L22,L24,2)</f>
        <v>2</v>
      </c>
      <c r="L24" s="138">
        <v>2</v>
      </c>
      <c r="M24" s="130" t="str">
        <f>INDEX(Berechnung!V22:AA25,MATCH(K24,Berechnung!AD22:AD25,0),1)</f>
        <v>Italien</v>
      </c>
      <c r="N24" s="131">
        <f>INDEX(Berechnung!V22:AA25,MATCH(K24,Berechnung!AD22:AD25,0),2)</f>
        <v>0</v>
      </c>
      <c r="O24" s="131">
        <f>INDEX(Berechnung!V22:AA25,MATCH(K24,Berechnung!AD22:AD25,0),3)</f>
        <v>0</v>
      </c>
      <c r="P24" s="132">
        <f>INDEX(Berechnung!V22:AA25,MATCH(K24,Berechnung!AD22:AD25,0),4)</f>
        <v>0</v>
      </c>
      <c r="Q24" s="121" t="s">
        <v>0</v>
      </c>
      <c r="R24" s="133">
        <f>INDEX(Berechnung!V22:AA25,MATCH(K24,Berechnung!AD22:AD25,0),5)</f>
        <v>0</v>
      </c>
      <c r="S24" s="131">
        <f>INDEX(Berechnung!V22:AA25,MATCH(K24,Berechnung!AD22:AD25,0),6)</f>
        <v>0</v>
      </c>
    </row>
    <row r="25" spans="1:19" s="89" customFormat="1" ht="12" customHeight="1">
      <c r="A25" s="118">
        <v>14</v>
      </c>
      <c r="B25" s="119">
        <v>39612</v>
      </c>
      <c r="C25" s="120">
        <v>0.8645833333333334</v>
      </c>
      <c r="D25" s="89" t="s">
        <v>97</v>
      </c>
      <c r="E25" s="91" t="str">
        <f>Text!B19</f>
        <v>Niederlande</v>
      </c>
      <c r="F25" s="89" t="s">
        <v>0</v>
      </c>
      <c r="G25" s="89" t="str">
        <f>Text!B22</f>
        <v>Frankreich</v>
      </c>
      <c r="H25" s="104"/>
      <c r="I25" s="121" t="s">
        <v>0</v>
      </c>
      <c r="J25" s="104"/>
      <c r="K25" s="122">
        <f>IF(L22,L25,3)</f>
        <v>3</v>
      </c>
      <c r="L25" s="138">
        <v>3</v>
      </c>
      <c r="M25" s="130" t="str">
        <f>INDEX(Berechnung!V22:AA25,MATCH(K25,Berechnung!AD22:AD25,0),1)</f>
        <v>Rumänien</v>
      </c>
      <c r="N25" s="131">
        <f>INDEX(Berechnung!V22:AA25,MATCH(K25,Berechnung!AD22:AD25,0),2)</f>
        <v>0</v>
      </c>
      <c r="O25" s="131">
        <f>INDEX(Berechnung!V22:AA25,MATCH(K25,Berechnung!AD22:AD25,0),3)</f>
        <v>0</v>
      </c>
      <c r="P25" s="132">
        <f>INDEX(Berechnung!V22:AA25,MATCH(K25,Berechnung!AD22:AD25,0),4)</f>
        <v>0</v>
      </c>
      <c r="Q25" s="121" t="s">
        <v>0</v>
      </c>
      <c r="R25" s="133">
        <f>INDEX(Berechnung!V22:AA25,MATCH(K25,Berechnung!AD22:AD25,0),5)</f>
        <v>0</v>
      </c>
      <c r="S25" s="131">
        <f>INDEX(Berechnung!V22:AA25,MATCH(K25,Berechnung!AD22:AD25,0),6)</f>
        <v>0</v>
      </c>
    </row>
    <row r="26" spans="1:19" s="89" customFormat="1" ht="12" customHeight="1">
      <c r="A26" s="118">
        <v>21</v>
      </c>
      <c r="B26" s="119">
        <v>39616</v>
      </c>
      <c r="C26" s="120">
        <v>0.8645833333333334</v>
      </c>
      <c r="D26" s="89" t="s">
        <v>97</v>
      </c>
      <c r="E26" s="91" t="str">
        <f>Text!B19</f>
        <v>Niederlande</v>
      </c>
      <c r="F26" s="89" t="s">
        <v>0</v>
      </c>
      <c r="G26" s="89" t="str">
        <f>Text!B21</f>
        <v>Rumänien</v>
      </c>
      <c r="H26" s="104"/>
      <c r="I26" s="121" t="s">
        <v>0</v>
      </c>
      <c r="J26" s="104"/>
      <c r="K26" s="122">
        <f>IF(L22,L26,4)</f>
        <v>4</v>
      </c>
      <c r="L26" s="139">
        <f>IF(AND(Berechnung!W26,Berechnung!AD26=Text!B$41),3,4)</f>
        <v>4</v>
      </c>
      <c r="M26" s="123" t="str">
        <f>INDEX(Berechnung!V22:AA25,MATCH(K26,Berechnung!AD22:AD25,0),1)</f>
        <v>Frankreich</v>
      </c>
      <c r="N26" s="124">
        <f>INDEX(Berechnung!V22:AA25,MATCH(K26,Berechnung!AD22:AD25,0),2)</f>
        <v>0</v>
      </c>
      <c r="O26" s="124">
        <f>INDEX(Berechnung!V22:AA25,MATCH(K26,Berechnung!AD22:AD25,0),3)</f>
        <v>0</v>
      </c>
      <c r="P26" s="134">
        <f>INDEX(Berechnung!V22:AA25,MATCH(K26,Berechnung!AD22:AD25,0),4)</f>
        <v>0</v>
      </c>
      <c r="Q26" s="135" t="s">
        <v>0</v>
      </c>
      <c r="R26" s="136">
        <f>INDEX(Berechnung!V22:AA25,MATCH(K26,Berechnung!AD22:AD25,0),5)</f>
        <v>0</v>
      </c>
      <c r="S26" s="124">
        <f>INDEX(Berechnung!V22:AA25,MATCH(K26,Berechnung!AD22:AD25,0),6)</f>
        <v>0</v>
      </c>
    </row>
    <row r="27" spans="1:19" s="89" customFormat="1" ht="12" customHeight="1">
      <c r="A27" s="118">
        <v>22</v>
      </c>
      <c r="B27" s="119">
        <v>39616</v>
      </c>
      <c r="C27" s="120">
        <v>0.8645833333333334</v>
      </c>
      <c r="D27" s="89" t="s">
        <v>96</v>
      </c>
      <c r="E27" s="91" t="str">
        <f>Text!B22</f>
        <v>Frankreich</v>
      </c>
      <c r="F27" s="89" t="s">
        <v>0</v>
      </c>
      <c r="G27" s="89" t="str">
        <f>Text!B20</f>
        <v>Italien</v>
      </c>
      <c r="H27" s="104"/>
      <c r="I27" s="121" t="s">
        <v>0</v>
      </c>
      <c r="J27" s="104"/>
      <c r="L27" s="158">
        <f>IF(L22,Text!B$43,"")</f>
      </c>
      <c r="M27" s="158"/>
      <c r="N27" s="158"/>
      <c r="O27" s="158"/>
      <c r="P27" s="158"/>
      <c r="Q27" s="158"/>
      <c r="R27" s="158"/>
      <c r="S27" s="158"/>
    </row>
    <row r="28" spans="1:19" s="89" customFormat="1" ht="12" customHeight="1">
      <c r="A28" s="118"/>
      <c r="B28" s="118"/>
      <c r="C28" s="119"/>
      <c r="E28" s="91"/>
      <c r="I28" s="121"/>
      <c r="L28" s="159"/>
      <c r="M28" s="159"/>
      <c r="N28" s="159"/>
      <c r="O28" s="159"/>
      <c r="P28" s="159"/>
      <c r="Q28" s="159"/>
      <c r="R28" s="159"/>
      <c r="S28" s="159"/>
    </row>
    <row r="29" spans="1:19" s="89" customFormat="1" ht="18" customHeight="1">
      <c r="A29" s="156" t="str">
        <f>Text!B26</f>
        <v>GRUPPE D</v>
      </c>
      <c r="B29" s="156"/>
      <c r="C29" s="156"/>
      <c r="D29" s="156"/>
      <c r="E29" s="156"/>
      <c r="F29" s="156"/>
      <c r="G29" s="156"/>
      <c r="H29" s="156"/>
      <c r="I29" s="156"/>
      <c r="J29" s="156"/>
      <c r="K29" s="156"/>
      <c r="L29" s="156"/>
      <c r="M29" s="156"/>
      <c r="N29" s="156"/>
      <c r="O29" s="156"/>
      <c r="P29" s="156"/>
      <c r="Q29" s="156"/>
      <c r="R29" s="156"/>
      <c r="S29" s="157"/>
    </row>
    <row r="30" spans="1:19" s="89" customFormat="1" ht="12" customHeight="1">
      <c r="A30" s="118">
        <v>7</v>
      </c>
      <c r="B30" s="119">
        <v>39609</v>
      </c>
      <c r="C30" s="120">
        <v>0.75</v>
      </c>
      <c r="D30" s="89" t="s">
        <v>98</v>
      </c>
      <c r="E30" s="91" t="str">
        <f>Text!B29</f>
        <v>Spanien</v>
      </c>
      <c r="F30" s="89" t="s">
        <v>0</v>
      </c>
      <c r="G30" s="89" t="str">
        <f>Text!B30</f>
        <v>Russland</v>
      </c>
      <c r="H30" s="100"/>
      <c r="I30" s="121" t="s">
        <v>0</v>
      </c>
      <c r="J30" s="100"/>
      <c r="L30" s="122" t="b">
        <f>(Berechnung!AD34=Text!B$42)</f>
        <v>0</v>
      </c>
      <c r="M30" s="123" t="s">
        <v>102</v>
      </c>
      <c r="N30" s="124" t="str">
        <f>Text!A$33</f>
        <v>Sp.</v>
      </c>
      <c r="O30" s="124" t="str">
        <f>Text!A$34</f>
        <v>Pkte.</v>
      </c>
      <c r="P30" s="151" t="str">
        <f>Text!A$38</f>
        <v>Tore</v>
      </c>
      <c r="Q30" s="151"/>
      <c r="R30" s="151"/>
      <c r="S30" s="124" t="str">
        <f>Text!A$37</f>
        <v>Diff.</v>
      </c>
    </row>
    <row r="31" spans="1:19" s="89" customFormat="1" ht="12" customHeight="1">
      <c r="A31" s="118">
        <v>8</v>
      </c>
      <c r="B31" s="119">
        <v>39609</v>
      </c>
      <c r="C31" s="120">
        <v>0.8645833333333334</v>
      </c>
      <c r="D31" s="89" t="s">
        <v>99</v>
      </c>
      <c r="E31" s="91" t="str">
        <f>Text!B27</f>
        <v>Griechenland</v>
      </c>
      <c r="F31" s="89" t="s">
        <v>0</v>
      </c>
      <c r="G31" s="89" t="str">
        <f>Text!B28</f>
        <v>Schweden</v>
      </c>
      <c r="H31" s="104"/>
      <c r="I31" s="121" t="s">
        <v>0</v>
      </c>
      <c r="J31" s="104"/>
      <c r="K31" s="122">
        <f>IF(L30,L31,1)</f>
        <v>1</v>
      </c>
      <c r="L31" s="137">
        <v>1</v>
      </c>
      <c r="M31" s="125" t="str">
        <f>INDEX(Berechnung!V30:AA33,MATCH(K31,Berechnung!AD30:AD33,0),1)</f>
        <v>Griechenland</v>
      </c>
      <c r="N31" s="126">
        <f>INDEX(Berechnung!V30:AA33,MATCH(K31,Berechnung!AD30:AD33,0),2)</f>
        <v>0</v>
      </c>
      <c r="O31" s="126">
        <f>INDEX(Berechnung!V30:AA33,MATCH(K31,Berechnung!AD30:AD33,0),3)</f>
        <v>0</v>
      </c>
      <c r="P31" s="127">
        <f>INDEX(Berechnung!V30:AA33,MATCH(K31,Berechnung!AD30:AD33,0),4)</f>
        <v>0</v>
      </c>
      <c r="Q31" s="128" t="s">
        <v>0</v>
      </c>
      <c r="R31" s="129">
        <f>INDEX(Berechnung!V30:AA33,MATCH(K31,Berechnung!AD30:AD33,0),5)</f>
        <v>0</v>
      </c>
      <c r="S31" s="126">
        <f>INDEX(Berechnung!V30:AA33,MATCH(K31,Berechnung!AD30:AD33,0),6)</f>
        <v>0</v>
      </c>
    </row>
    <row r="32" spans="1:19" s="89" customFormat="1" ht="12" customHeight="1">
      <c r="A32" s="118">
        <v>15</v>
      </c>
      <c r="B32" s="119">
        <v>39613</v>
      </c>
      <c r="C32" s="120">
        <v>0.75</v>
      </c>
      <c r="D32" s="89" t="s">
        <v>98</v>
      </c>
      <c r="E32" s="91" t="str">
        <f>Text!B28</f>
        <v>Schweden</v>
      </c>
      <c r="F32" s="89" t="s">
        <v>0</v>
      </c>
      <c r="G32" s="89" t="str">
        <f>Text!B29</f>
        <v>Spanien</v>
      </c>
      <c r="H32" s="104"/>
      <c r="I32" s="121" t="s">
        <v>0</v>
      </c>
      <c r="J32" s="104"/>
      <c r="K32" s="122">
        <f>IF(L30,L32,2)</f>
        <v>2</v>
      </c>
      <c r="L32" s="138">
        <v>2</v>
      </c>
      <c r="M32" s="130" t="str">
        <f>INDEX(Berechnung!V30:AA33,MATCH(K32,Berechnung!AD30:AD33,0),1)</f>
        <v>Schweden</v>
      </c>
      <c r="N32" s="131">
        <f>INDEX(Berechnung!V30:AA33,MATCH(K32,Berechnung!AD30:AD33,0),2)</f>
        <v>0</v>
      </c>
      <c r="O32" s="131">
        <f>INDEX(Berechnung!V30:AA33,MATCH(K32,Berechnung!AD30:AD33,0),3)</f>
        <v>0</v>
      </c>
      <c r="P32" s="132">
        <f>INDEX(Berechnung!V30:AA33,MATCH(K32,Berechnung!AD30:AD33,0),4)</f>
        <v>0</v>
      </c>
      <c r="Q32" s="121" t="s">
        <v>0</v>
      </c>
      <c r="R32" s="133">
        <f>INDEX(Berechnung!V30:AA33,MATCH(K32,Berechnung!AD30:AD33,0),5)</f>
        <v>0</v>
      </c>
      <c r="S32" s="131">
        <f>INDEX(Berechnung!V30:AA33,MATCH(K32,Berechnung!AD30:AD33,0),6)</f>
        <v>0</v>
      </c>
    </row>
    <row r="33" spans="1:19" s="89" customFormat="1" ht="12" customHeight="1">
      <c r="A33" s="118">
        <v>16</v>
      </c>
      <c r="B33" s="119">
        <v>39613</v>
      </c>
      <c r="C33" s="120">
        <v>0.8645833333333334</v>
      </c>
      <c r="D33" s="89" t="s">
        <v>99</v>
      </c>
      <c r="E33" s="91" t="str">
        <f>Text!B27</f>
        <v>Griechenland</v>
      </c>
      <c r="F33" s="89" t="s">
        <v>0</v>
      </c>
      <c r="G33" s="89" t="str">
        <f>Text!B30</f>
        <v>Russland</v>
      </c>
      <c r="H33" s="104"/>
      <c r="I33" s="121" t="s">
        <v>0</v>
      </c>
      <c r="J33" s="104"/>
      <c r="K33" s="122">
        <f>IF(L30,L33,3)</f>
        <v>3</v>
      </c>
      <c r="L33" s="138">
        <v>3</v>
      </c>
      <c r="M33" s="130" t="str">
        <f>INDEX(Berechnung!V30:AA33,MATCH(K33,Berechnung!AD30:AD33,0),1)</f>
        <v>Spanien</v>
      </c>
      <c r="N33" s="131">
        <f>INDEX(Berechnung!V30:AA33,MATCH(K33,Berechnung!AD30:AD33,0),2)</f>
        <v>0</v>
      </c>
      <c r="O33" s="131">
        <f>INDEX(Berechnung!V30:AA33,MATCH(K33,Berechnung!AD30:AD33,0),3)</f>
        <v>0</v>
      </c>
      <c r="P33" s="132">
        <f>INDEX(Berechnung!V30:AA33,MATCH(K33,Berechnung!AD30:AD33,0),4)</f>
        <v>0</v>
      </c>
      <c r="Q33" s="121" t="s">
        <v>0</v>
      </c>
      <c r="R33" s="133">
        <f>INDEX(Berechnung!V30:AA33,MATCH(K33,Berechnung!AD30:AD33,0),5)</f>
        <v>0</v>
      </c>
      <c r="S33" s="131">
        <f>INDEX(Berechnung!V30:AA33,MATCH(K33,Berechnung!AD30:AD33,0),6)</f>
        <v>0</v>
      </c>
    </row>
    <row r="34" spans="1:19" s="89" customFormat="1" ht="12" customHeight="1">
      <c r="A34" s="118">
        <v>23</v>
      </c>
      <c r="B34" s="119">
        <v>39617</v>
      </c>
      <c r="C34" s="120">
        <v>0.8645833333333334</v>
      </c>
      <c r="D34" s="89" t="s">
        <v>99</v>
      </c>
      <c r="E34" s="91" t="str">
        <f>Text!B27</f>
        <v>Griechenland</v>
      </c>
      <c r="F34" s="89" t="s">
        <v>0</v>
      </c>
      <c r="G34" s="89" t="str">
        <f>Text!B29</f>
        <v>Spanien</v>
      </c>
      <c r="H34" s="104"/>
      <c r="I34" s="121" t="s">
        <v>0</v>
      </c>
      <c r="J34" s="104"/>
      <c r="K34" s="122">
        <f>IF(L30,L34,4)</f>
        <v>4</v>
      </c>
      <c r="L34" s="139">
        <f>IF(AND(Berechnung!W34,Berechnung!AD34=Text!B$41),3,4)</f>
        <v>4</v>
      </c>
      <c r="M34" s="123" t="str">
        <f>INDEX(Berechnung!V30:AA33,MATCH(K34,Berechnung!AD30:AD33,0),1)</f>
        <v>Russland</v>
      </c>
      <c r="N34" s="124">
        <f>INDEX(Berechnung!V30:AA33,MATCH(K34,Berechnung!AD30:AD33,0),2)</f>
        <v>0</v>
      </c>
      <c r="O34" s="124">
        <f>INDEX(Berechnung!V30:AA33,MATCH(K34,Berechnung!AD30:AD33,0),3)</f>
        <v>0</v>
      </c>
      <c r="P34" s="134">
        <f>INDEX(Berechnung!V30:AA33,MATCH(K34,Berechnung!AD30:AD33,0),4)</f>
        <v>0</v>
      </c>
      <c r="Q34" s="135" t="s">
        <v>0</v>
      </c>
      <c r="R34" s="136">
        <f>INDEX(Berechnung!V30:AA33,MATCH(K34,Berechnung!AD30:AD33,0),5)</f>
        <v>0</v>
      </c>
      <c r="S34" s="124">
        <f>INDEX(Berechnung!V30:AA33,MATCH(K34,Berechnung!AD30:AD33,0),6)</f>
        <v>0</v>
      </c>
    </row>
    <row r="35" spans="1:19" s="89" customFormat="1" ht="12" customHeight="1">
      <c r="A35" s="118">
        <v>24</v>
      </c>
      <c r="B35" s="119">
        <v>39617</v>
      </c>
      <c r="C35" s="120">
        <v>0.8645833333333334</v>
      </c>
      <c r="D35" s="89" t="s">
        <v>98</v>
      </c>
      <c r="E35" s="91" t="str">
        <f>Text!B30</f>
        <v>Russland</v>
      </c>
      <c r="F35" s="89" t="s">
        <v>0</v>
      </c>
      <c r="G35" s="89" t="str">
        <f>Text!B28</f>
        <v>Schweden</v>
      </c>
      <c r="H35" s="104"/>
      <c r="I35" s="121" t="s">
        <v>0</v>
      </c>
      <c r="J35" s="104"/>
      <c r="L35" s="158">
        <f>IF(L30,Text!B$43,"")</f>
      </c>
      <c r="M35" s="158"/>
      <c r="N35" s="158"/>
      <c r="O35" s="158"/>
      <c r="P35" s="158"/>
      <c r="Q35" s="158"/>
      <c r="R35" s="158"/>
      <c r="S35" s="158"/>
    </row>
    <row r="36" spans="1:19" s="89" customFormat="1" ht="12" customHeight="1">
      <c r="A36" s="118"/>
      <c r="B36" s="118"/>
      <c r="C36" s="119"/>
      <c r="E36" s="91"/>
      <c r="I36" s="121"/>
      <c r="L36" s="159"/>
      <c r="M36" s="159"/>
      <c r="N36" s="159"/>
      <c r="O36" s="159"/>
      <c r="P36" s="159"/>
      <c r="Q36" s="159"/>
      <c r="R36" s="159"/>
      <c r="S36" s="159"/>
    </row>
    <row r="37" spans="1:19" ht="18.75" customHeight="1">
      <c r="A37" s="150" t="s">
        <v>108</v>
      </c>
      <c r="B37" s="150"/>
      <c r="C37" s="150"/>
      <c r="D37" s="150"/>
      <c r="E37" s="150"/>
      <c r="F37" s="150"/>
      <c r="G37" s="150"/>
      <c r="H37" s="150"/>
      <c r="I37" s="150"/>
      <c r="J37" s="150"/>
      <c r="K37" s="150"/>
      <c r="L37" s="150"/>
      <c r="M37" s="150"/>
      <c r="N37" s="150"/>
      <c r="O37" s="150"/>
      <c r="P37" s="150"/>
      <c r="Q37" s="150"/>
      <c r="R37" s="150"/>
      <c r="S37" s="150"/>
    </row>
  </sheetData>
  <sheetProtection password="FD57" sheet="1" objects="1" scenarios="1" selectLockedCells="1"/>
  <mergeCells count="16">
    <mergeCell ref="A1:S1"/>
    <mergeCell ref="A2:S2"/>
    <mergeCell ref="E4:G4"/>
    <mergeCell ref="P30:R30"/>
    <mergeCell ref="A5:S5"/>
    <mergeCell ref="A29:S29"/>
    <mergeCell ref="A21:S21"/>
    <mergeCell ref="A13:S13"/>
    <mergeCell ref="L11:S12"/>
    <mergeCell ref="L19:S20"/>
    <mergeCell ref="A37:S37"/>
    <mergeCell ref="P6:R6"/>
    <mergeCell ref="P14:R14"/>
    <mergeCell ref="P22:R22"/>
    <mergeCell ref="L35:S36"/>
    <mergeCell ref="L27:S28"/>
  </mergeCells>
  <conditionalFormatting sqref="L7 L15 L23 L31">
    <cfRule type="expression" priority="1" dxfId="0" stopIfTrue="1">
      <formula>L6</formula>
    </cfRule>
  </conditionalFormatting>
  <conditionalFormatting sqref="L8 L16 L24 L32">
    <cfRule type="expression" priority="2" dxfId="0" stopIfTrue="1">
      <formula>L6</formula>
    </cfRule>
  </conditionalFormatting>
  <conditionalFormatting sqref="L9 L17 L25 L33">
    <cfRule type="expression" priority="3" dxfId="0" stopIfTrue="1">
      <formula>L6</formula>
    </cfRule>
  </conditionalFormatting>
  <conditionalFormatting sqref="L10 L18 L26 L34">
    <cfRule type="expression" priority="4" dxfId="0" stopIfTrue="1">
      <formula>L6</formula>
    </cfRule>
  </conditionalFormatting>
  <dataValidations count="2">
    <dataValidation type="whole" allowBlank="1" showInputMessage="1" showErrorMessage="1" sqref="L7:L10 L31:L34 L23:L26 L15:L18">
      <formula1>1</formula1>
      <formula2>4</formula2>
    </dataValidation>
    <dataValidation type="whole" operator="greaterThanOrEqual" allowBlank="1" showErrorMessage="1" sqref="H22:H27 J30:J35 H30:H35 J6:J11 H6:H11 J14:J19 H14:H19 J22:J27">
      <formula1>0</formula1>
    </dataValidation>
  </dataValidations>
  <hyperlinks>
    <hyperlink ref="A37:I37" r:id="rId1" display="Fussball EM 2008 - www.sportwetteninfo.de"/>
  </hyperlinks>
  <printOptions horizontalCentered="1"/>
  <pageMargins left="0.5" right="0.5" top="0.5" bottom="0.5" header="0.5" footer="0.35"/>
  <pageSetup horizontalDpi="600" verticalDpi="600" orientation="portrait" scale="77" r:id="rId2"/>
  <headerFooter alignWithMargins="0">
    <oddFooter>&amp;L&amp;"Tahoma,Обычный"&amp;8
Sie können diese und viele weitere Vorlagen kostenlos von Office Online herunterladen!&amp;R&amp;"Tahoma,Обычный"&amp;8
http://office.microsoft.com</oddFooter>
  </headerFooter>
  <ignoredErrors>
    <ignoredError sqref="E7 E15 G8:G9 G16 E18 E24 E32 G33 G25" formula="1"/>
    <ignoredError sqref="L34" unlockedFormula="1"/>
  </ignoredErrors>
</worksheet>
</file>

<file path=xl/worksheets/sheet2.xml><?xml version="1.0" encoding="utf-8"?>
<worksheet xmlns="http://schemas.openxmlformats.org/spreadsheetml/2006/main" xmlns:r="http://schemas.openxmlformats.org/officeDocument/2006/relationships">
  <sheetPr>
    <tabColor indexed="50"/>
    <pageSetUpPr fitToPage="1"/>
  </sheetPr>
  <dimension ref="A1:R24"/>
  <sheetViews>
    <sheetView zoomScalePageLayoutView="0" workbookViewId="0" topLeftCell="A1">
      <selection activeCell="H16" sqref="H16"/>
    </sheetView>
  </sheetViews>
  <sheetFormatPr defaultColWidth="9.140625" defaultRowHeight="12.75"/>
  <cols>
    <col min="1" max="2" width="6.28125" style="107" customWidth="1"/>
    <col min="3" max="3" width="7.28125" style="108" customWidth="1"/>
    <col min="4" max="4" width="13.7109375" style="107" customWidth="1"/>
    <col min="5" max="5" width="18.7109375" style="107" customWidth="1"/>
    <col min="6" max="6" width="3.57421875" style="107" customWidth="1"/>
    <col min="7" max="7" width="1.57421875" style="107" bestFit="1" customWidth="1"/>
    <col min="8" max="8" width="3.57421875" style="107" customWidth="1"/>
    <col min="9" max="9" width="18.7109375" style="107" customWidth="1"/>
    <col min="10" max="16384" width="11.421875" style="107" customWidth="1"/>
  </cols>
  <sheetData>
    <row r="1" spans="1:17" s="74" customFormat="1" ht="36" customHeight="1" thickBot="1">
      <c r="A1" s="152" t="str">
        <f>Text!B44</f>
        <v>Euro 2008 - Spielplan</v>
      </c>
      <c r="B1" s="152"/>
      <c r="C1" s="152"/>
      <c r="D1" s="152"/>
      <c r="E1" s="152"/>
      <c r="F1" s="152"/>
      <c r="G1" s="152"/>
      <c r="H1" s="152"/>
      <c r="I1" s="152"/>
      <c r="L1" s="75"/>
      <c r="M1" s="75"/>
      <c r="N1" s="76"/>
      <c r="O1" s="75"/>
      <c r="P1" s="77"/>
      <c r="Q1" s="75"/>
    </row>
    <row r="2" spans="1:17" s="82" customFormat="1" ht="21.75" customHeight="1">
      <c r="A2" s="153" t="s">
        <v>69</v>
      </c>
      <c r="B2" s="153"/>
      <c r="C2" s="153"/>
      <c r="D2" s="153"/>
      <c r="E2" s="153"/>
      <c r="F2" s="153"/>
      <c r="G2" s="153"/>
      <c r="H2" s="153"/>
      <c r="I2" s="153"/>
      <c r="L2" s="83"/>
      <c r="M2" s="83"/>
      <c r="N2" s="84"/>
      <c r="O2" s="83"/>
      <c r="P2" s="85"/>
      <c r="Q2" s="83"/>
    </row>
    <row r="3" spans="1:17" s="89" customFormat="1" ht="12" customHeight="1">
      <c r="A3" s="86"/>
      <c r="B3" s="86"/>
      <c r="C3" s="87"/>
      <c r="D3" s="88"/>
      <c r="E3" s="88"/>
      <c r="F3" s="88"/>
      <c r="G3" s="88"/>
      <c r="H3" s="88"/>
      <c r="I3" s="88"/>
      <c r="L3" s="90"/>
      <c r="M3" s="90"/>
      <c r="N3" s="91"/>
      <c r="O3" s="90"/>
      <c r="P3" s="92"/>
      <c r="Q3" s="90"/>
    </row>
    <row r="4" spans="1:18" s="89" customFormat="1" ht="12" customHeight="1">
      <c r="A4" s="93" t="s">
        <v>46</v>
      </c>
      <c r="B4" s="94" t="s">
        <v>47</v>
      </c>
      <c r="C4" s="94" t="s">
        <v>95</v>
      </c>
      <c r="D4" s="93" t="s">
        <v>105</v>
      </c>
      <c r="E4" s="88"/>
      <c r="F4" s="88"/>
      <c r="G4" s="88"/>
      <c r="H4" s="88"/>
      <c r="I4" s="88"/>
      <c r="M4" s="90"/>
      <c r="N4" s="90"/>
      <c r="O4" s="91"/>
      <c r="P4" s="90"/>
      <c r="Q4" s="92"/>
      <c r="R4" s="90"/>
    </row>
    <row r="5" spans="1:17" s="89" customFormat="1" ht="18" customHeight="1">
      <c r="A5" s="156" t="s">
        <v>41</v>
      </c>
      <c r="B5" s="156"/>
      <c r="C5" s="156"/>
      <c r="D5" s="156"/>
      <c r="E5" s="156"/>
      <c r="F5" s="156"/>
      <c r="G5" s="156"/>
      <c r="H5" s="156"/>
      <c r="I5" s="156"/>
      <c r="L5" s="90"/>
      <c r="M5" s="90"/>
      <c r="N5" s="91"/>
      <c r="O5" s="90"/>
      <c r="P5" s="92"/>
      <c r="Q5" s="90"/>
    </row>
    <row r="6" spans="1:9" s="103" customFormat="1" ht="12" customHeight="1">
      <c r="A6" s="95">
        <v>25</v>
      </c>
      <c r="B6" s="96">
        <v>39618</v>
      </c>
      <c r="C6" s="97">
        <v>0.8645833333333334</v>
      </c>
      <c r="D6" s="98" t="s">
        <v>91</v>
      </c>
      <c r="E6" s="99" t="str">
        <f>IF(Berechnung!W10,Vorrunde!M7,Text!B53&amp;" "&amp;Text!B55&amp;" A")</f>
        <v>Sieger Gruppe A</v>
      </c>
      <c r="F6" s="100"/>
      <c r="G6" s="101" t="s">
        <v>0</v>
      </c>
      <c r="H6" s="100"/>
      <c r="I6" s="102" t="str">
        <f>IF(Berechnung!W18,Vorrunde!M16,Text!B54&amp;" "&amp;Text!B55&amp;" B")</f>
        <v>Zweiter Gruppe B</v>
      </c>
    </row>
    <row r="7" spans="1:9" s="103" customFormat="1" ht="12" customHeight="1">
      <c r="A7" s="95">
        <v>26</v>
      </c>
      <c r="B7" s="96">
        <v>39619</v>
      </c>
      <c r="C7" s="97">
        <v>0.8645833333333334</v>
      </c>
      <c r="D7" s="98" t="s">
        <v>93</v>
      </c>
      <c r="E7" s="99" t="str">
        <f>IF(Berechnung!W18,Vorrunde!M15,Text!B53&amp;" "&amp;Text!B55&amp;" B")</f>
        <v>Sieger Gruppe B</v>
      </c>
      <c r="F7" s="104"/>
      <c r="G7" s="101" t="s">
        <v>0</v>
      </c>
      <c r="H7" s="104"/>
      <c r="I7" s="102" t="str">
        <f>IF(Berechnung!W10,Vorrunde!M8,Text!B54&amp;" "&amp;Text!B55&amp;" A")</f>
        <v>Zweiter Gruppe A</v>
      </c>
    </row>
    <row r="8" spans="1:9" s="103" customFormat="1" ht="12" customHeight="1">
      <c r="A8" s="95">
        <v>27</v>
      </c>
      <c r="B8" s="96">
        <v>39620</v>
      </c>
      <c r="C8" s="97">
        <v>0.8645833333333334</v>
      </c>
      <c r="D8" s="98" t="s">
        <v>91</v>
      </c>
      <c r="E8" s="99" t="str">
        <f>IF(Berechnung!W26,Vorrunde!M23,Text!B53&amp;" "&amp;Text!B55&amp;" C")</f>
        <v>Sieger Gruppe C</v>
      </c>
      <c r="F8" s="104"/>
      <c r="G8" s="101" t="s">
        <v>0</v>
      </c>
      <c r="H8" s="104"/>
      <c r="I8" s="102" t="str">
        <f>IF(Berechnung!W34,Vorrunde!M32,Text!B54&amp;" "&amp;Text!B55&amp;" D")</f>
        <v>Zweiter Gruppe D</v>
      </c>
    </row>
    <row r="9" spans="1:9" s="103" customFormat="1" ht="12" customHeight="1">
      <c r="A9" s="95">
        <v>28</v>
      </c>
      <c r="B9" s="96">
        <v>39621</v>
      </c>
      <c r="C9" s="97">
        <v>0.8645833333333334</v>
      </c>
      <c r="D9" s="98" t="s">
        <v>93</v>
      </c>
      <c r="E9" s="99" t="str">
        <f>IF(Berechnung!W34,Vorrunde!M31,Text!B53&amp;" "&amp;Text!B55&amp;" D")</f>
        <v>Sieger Gruppe D</v>
      </c>
      <c r="F9" s="104"/>
      <c r="G9" s="101" t="s">
        <v>0</v>
      </c>
      <c r="H9" s="104"/>
      <c r="I9" s="102" t="str">
        <f>IF(Berechnung!W26,Vorrunde!M24,Text!B54&amp;" "&amp;Text!B55&amp;" C")</f>
        <v>Zweiter Gruppe C</v>
      </c>
    </row>
    <row r="10" spans="1:9" s="103" customFormat="1" ht="12" customHeight="1">
      <c r="A10" s="98"/>
      <c r="B10" s="98"/>
      <c r="C10" s="105"/>
      <c r="D10" s="98"/>
      <c r="E10" s="98"/>
      <c r="F10" s="98"/>
      <c r="G10" s="98"/>
      <c r="H10" s="98"/>
      <c r="I10" s="98"/>
    </row>
    <row r="11" spans="1:9" s="103" customFormat="1" ht="18" customHeight="1">
      <c r="A11" s="156" t="s">
        <v>42</v>
      </c>
      <c r="B11" s="156"/>
      <c r="C11" s="156"/>
      <c r="D11" s="156"/>
      <c r="E11" s="156"/>
      <c r="F11" s="156"/>
      <c r="G11" s="156"/>
      <c r="H11" s="156"/>
      <c r="I11" s="156"/>
    </row>
    <row r="12" spans="1:9" s="103" customFormat="1" ht="12" customHeight="1">
      <c r="A12" s="95">
        <v>29</v>
      </c>
      <c r="B12" s="96">
        <v>39624</v>
      </c>
      <c r="C12" s="97">
        <v>0.8645833333333334</v>
      </c>
      <c r="D12" s="98" t="s">
        <v>91</v>
      </c>
      <c r="E12" s="99" t="str">
        <f>IF(OR(ISBLANK(F6),ISBLANK(H6)),Text!B53&amp;" "&amp;Text!B56&amp;" 25",IF(F6&gt;H6,E6,I6))</f>
        <v>Sieger  25</v>
      </c>
      <c r="F12" s="100"/>
      <c r="G12" s="101" t="s">
        <v>0</v>
      </c>
      <c r="H12" s="100"/>
      <c r="I12" s="102" t="str">
        <f>IF(OR(ISBLANK(F7),ISBLANK(H7)),Text!B53&amp;" "&amp;Text!B56&amp;" 26",IF(F7&gt;H7,E7,I7))</f>
        <v>Sieger  26</v>
      </c>
    </row>
    <row r="13" spans="1:9" s="103" customFormat="1" ht="12" customHeight="1">
      <c r="A13" s="95">
        <v>30</v>
      </c>
      <c r="B13" s="96">
        <v>39625</v>
      </c>
      <c r="C13" s="97">
        <v>0.8645833333333334</v>
      </c>
      <c r="D13" s="98" t="s">
        <v>93</v>
      </c>
      <c r="E13" s="99" t="str">
        <f>IF(OR(ISBLANK(F8),ISBLANK(H8)),Text!B53&amp;" "&amp;Text!B56&amp;" 27",IF(F8&gt;H8,E8,I8))</f>
        <v>Sieger  27</v>
      </c>
      <c r="F13" s="104"/>
      <c r="G13" s="101" t="s">
        <v>0</v>
      </c>
      <c r="H13" s="104"/>
      <c r="I13" s="102" t="str">
        <f>IF(OR(ISBLANK(F9),ISBLANK(H9)),Text!B53&amp;" "&amp;Text!B56&amp;" 28",IF(F9&gt;H9,E9,I9))</f>
        <v>Sieger  28</v>
      </c>
    </row>
    <row r="14" spans="1:9" s="103" customFormat="1" ht="12" customHeight="1">
      <c r="A14" s="98"/>
      <c r="B14" s="98"/>
      <c r="C14" s="105"/>
      <c r="D14" s="98"/>
      <c r="E14" s="98"/>
      <c r="F14" s="98"/>
      <c r="G14" s="98"/>
      <c r="H14" s="98"/>
      <c r="I14" s="98"/>
    </row>
    <row r="15" spans="1:9" s="103" customFormat="1" ht="18" customHeight="1">
      <c r="A15" s="156" t="s">
        <v>43</v>
      </c>
      <c r="B15" s="156"/>
      <c r="C15" s="156"/>
      <c r="D15" s="156"/>
      <c r="E15" s="156"/>
      <c r="F15" s="156"/>
      <c r="G15" s="156"/>
      <c r="H15" s="156"/>
      <c r="I15" s="156"/>
    </row>
    <row r="16" spans="1:9" s="103" customFormat="1" ht="12" customHeight="1">
      <c r="A16" s="95">
        <v>31</v>
      </c>
      <c r="B16" s="96">
        <v>39628</v>
      </c>
      <c r="C16" s="97">
        <v>0.8645833333333334</v>
      </c>
      <c r="D16" s="98" t="s">
        <v>93</v>
      </c>
      <c r="E16" s="99" t="str">
        <f>IF(OR(ISBLANK(F12),ISBLANK(H12)),Text!B53&amp;" "&amp;Text!B56&amp;" 29",IF(F12&gt;H12,E12,I12))</f>
        <v>Sieger  29</v>
      </c>
      <c r="F16" s="100"/>
      <c r="G16" s="101" t="s">
        <v>0</v>
      </c>
      <c r="H16" s="100"/>
      <c r="I16" s="102" t="str">
        <f>IF(OR(ISBLANK(F13),ISBLANK(H13)),Text!B53&amp;" "&amp;Text!B56&amp;" 30",IF(F13&gt;H13,E13,I13))</f>
        <v>Sieger  30</v>
      </c>
    </row>
    <row r="17" spans="1:9" s="103" customFormat="1" ht="12" customHeight="1">
      <c r="A17" s="98"/>
      <c r="B17" s="98"/>
      <c r="C17" s="105"/>
      <c r="D17" s="98"/>
      <c r="E17" s="98"/>
      <c r="F17" s="98"/>
      <c r="G17" s="98"/>
      <c r="H17" s="98"/>
      <c r="I17" s="98"/>
    </row>
    <row r="18" spans="1:9" s="106" customFormat="1" ht="15.75" customHeight="1">
      <c r="A18" s="160" t="s">
        <v>100</v>
      </c>
      <c r="B18" s="161"/>
      <c r="C18" s="161"/>
      <c r="D18" s="161"/>
      <c r="E18" s="161"/>
      <c r="F18" s="161"/>
      <c r="G18" s="161"/>
      <c r="H18" s="161"/>
      <c r="I18" s="162"/>
    </row>
    <row r="19" spans="1:9" s="106" customFormat="1" ht="15.75" customHeight="1">
      <c r="A19" s="163"/>
      <c r="B19" s="164"/>
      <c r="C19" s="164"/>
      <c r="D19" s="164"/>
      <c r="E19" s="164"/>
      <c r="F19" s="164"/>
      <c r="G19" s="164"/>
      <c r="H19" s="164"/>
      <c r="I19" s="165"/>
    </row>
    <row r="20" spans="1:9" s="106" customFormat="1" ht="15.75" customHeight="1">
      <c r="A20" s="166">
        <f>IF(OR(ISBLANK(F16),ISBLANK(H16)),"",IF(F16&gt;H16,E16,I16))</f>
      </c>
      <c r="B20" s="167"/>
      <c r="C20" s="167"/>
      <c r="D20" s="167"/>
      <c r="E20" s="167"/>
      <c r="F20" s="167"/>
      <c r="G20" s="167"/>
      <c r="H20" s="167"/>
      <c r="I20" s="168"/>
    </row>
    <row r="21" spans="1:9" s="106" customFormat="1" ht="45" customHeight="1">
      <c r="A21" s="166"/>
      <c r="B21" s="167"/>
      <c r="C21" s="167"/>
      <c r="D21" s="167"/>
      <c r="E21" s="167"/>
      <c r="F21" s="167"/>
      <c r="G21" s="167"/>
      <c r="H21" s="167"/>
      <c r="I21" s="168"/>
    </row>
    <row r="22" spans="1:9" ht="10.5">
      <c r="A22" s="144"/>
      <c r="B22" s="145"/>
      <c r="C22" s="146"/>
      <c r="D22" s="145"/>
      <c r="E22" s="145"/>
      <c r="F22" s="145"/>
      <c r="G22" s="145"/>
      <c r="H22" s="145"/>
      <c r="I22" s="143"/>
    </row>
    <row r="23" ht="6.75" customHeight="1"/>
    <row r="24" spans="1:9" s="149" customFormat="1" ht="17.25" customHeight="1">
      <c r="A24" s="150" t="s">
        <v>108</v>
      </c>
      <c r="B24" s="150"/>
      <c r="C24" s="150"/>
      <c r="D24" s="150"/>
      <c r="E24" s="150"/>
      <c r="F24" s="150"/>
      <c r="G24" s="150"/>
      <c r="H24" s="150"/>
      <c r="I24" s="150"/>
    </row>
  </sheetData>
  <sheetProtection password="FD57" sheet="1" objects="1" scenarios="1" selectLockedCells="1"/>
  <mergeCells count="8">
    <mergeCell ref="A1:I1"/>
    <mergeCell ref="A2:I2"/>
    <mergeCell ref="A5:I5"/>
    <mergeCell ref="A11:I11"/>
    <mergeCell ref="A24:I24"/>
    <mergeCell ref="A15:I15"/>
    <mergeCell ref="A18:I19"/>
    <mergeCell ref="A20:I21"/>
  </mergeCells>
  <dataValidations count="1">
    <dataValidation type="whole" operator="greaterThanOrEqual" allowBlank="1" showErrorMessage="1" sqref="H16 H6:H9 F6:F9 F12:F13 H12:H13 F16">
      <formula1>0</formula1>
    </dataValidation>
  </dataValidations>
  <hyperlinks>
    <hyperlink ref="A24:I24" r:id="rId1" display="Fussball EM 2008 - www.sportwetteninfo.de"/>
  </hyperlinks>
  <printOptions horizontalCentered="1"/>
  <pageMargins left="0.5" right="0.5" top="0.5" bottom="0.5" header="0.5" footer="0.4921259845"/>
  <pageSetup fitToHeight="1" fitToWidth="1" horizontalDpi="600" verticalDpi="600" orientation="portrait" r:id="rId2"/>
  <headerFooter alignWithMargins="0">
    <oddFooter>&amp;L&amp;"Tahoma,Обычный"&amp;8Sie können diese und viele weitere Vorlagen kostenlos von Office Online herunterladen!&amp;R&amp;"Tahoma,Обычный"&amp;8http://office.microsoft.com</oddFooter>
  </headerFooter>
</worksheet>
</file>

<file path=xl/worksheets/sheet3.xml><?xml version="1.0" encoding="utf-8"?>
<worksheet xmlns="http://schemas.openxmlformats.org/spreadsheetml/2006/main" xmlns:r="http://schemas.openxmlformats.org/officeDocument/2006/relationships">
  <sheetPr>
    <tabColor indexed="9"/>
  </sheetPr>
  <dimension ref="A1:DC34"/>
  <sheetViews>
    <sheetView zoomScalePageLayoutView="0" workbookViewId="0" topLeftCell="A1">
      <selection activeCell="C6" sqref="C6"/>
    </sheetView>
  </sheetViews>
  <sheetFormatPr defaultColWidth="9.140625" defaultRowHeight="12.75" outlineLevelRow="1" outlineLevelCol="2"/>
  <cols>
    <col min="1" max="1" width="17.140625" style="14" bestFit="1" customWidth="1"/>
    <col min="2" max="3" width="5.00390625" style="14" customWidth="1"/>
    <col min="4" max="4" width="17.140625" style="14" bestFit="1" customWidth="1"/>
    <col min="5" max="6" width="0.71875" style="9" customWidth="1"/>
    <col min="7" max="7" width="7.140625" style="9" customWidth="1"/>
    <col min="8" max="8" width="4.00390625" style="9" bestFit="1" customWidth="1" outlineLevel="1"/>
    <col min="9" max="10" width="3.57421875" style="9" customWidth="1" outlineLevel="1"/>
    <col min="11" max="11" width="4.00390625" style="9" bestFit="1" customWidth="1" outlineLevel="1"/>
    <col min="12" max="13" width="0.71875" style="9" customWidth="1" outlineLevel="1"/>
    <col min="14" max="14" width="7.28125" style="9" customWidth="1" outlineLevel="1"/>
    <col min="15" max="18" width="4.140625" style="14" customWidth="1" outlineLevel="2"/>
    <col min="19" max="20" width="0.71875" style="9" customWidth="1" outlineLevel="2"/>
    <col min="21" max="21" width="2.57421875" style="14" customWidth="1" outlineLevel="2"/>
    <col min="22" max="22" width="24.00390625" style="14" customWidth="1" outlineLevel="2"/>
    <col min="23" max="23" width="9.28125" style="14" customWidth="1" outlineLevel="2"/>
    <col min="24" max="24" width="5.7109375" style="14" bestFit="1" customWidth="1" outlineLevel="1"/>
    <col min="25" max="25" width="4.28125" style="14" bestFit="1" customWidth="1" outlineLevel="1"/>
    <col min="26" max="26" width="4.421875" style="14" bestFit="1" customWidth="1" outlineLevel="1"/>
    <col min="27" max="27" width="4.28125" style="14" bestFit="1" customWidth="1"/>
    <col min="28" max="28" width="0.71875" style="14" customWidth="1"/>
    <col min="29" max="29" width="0.71875" style="9" customWidth="1"/>
    <col min="30" max="30" width="12.8515625" style="9" customWidth="1"/>
    <col min="31" max="32" width="0.71875" style="9" customWidth="1"/>
    <col min="33" max="33" width="18.421875" style="9" customWidth="1"/>
    <col min="34" max="34" width="8.57421875" style="14" customWidth="1"/>
    <col min="35" max="35" width="3.57421875" style="14" customWidth="1"/>
    <col min="36" max="37" width="0.71875" style="14" customWidth="1"/>
    <col min="38" max="38" width="9.28125" style="14" customWidth="1"/>
    <col min="39" max="39" width="8.57421875" style="14" customWidth="1"/>
    <col min="40" max="40" width="8.57421875" style="9" customWidth="1"/>
    <col min="41" max="42" width="0.71875" style="14" customWidth="1"/>
    <col min="43" max="43" width="7.421875" style="14" customWidth="1"/>
    <col min="44" max="44" width="5.57421875" style="9" customWidth="1"/>
    <col min="45" max="45" width="11.28125" style="9" customWidth="1"/>
    <col min="46" max="46" width="6.57421875" style="14" bestFit="1" customWidth="1"/>
    <col min="47" max="47" width="8.57421875" style="14" customWidth="1"/>
    <col min="48" max="49" width="0.71875" style="14" customWidth="1"/>
    <col min="50" max="50" width="14.8515625" style="9" customWidth="1"/>
    <col min="51" max="51" width="4.140625" style="9" bestFit="1" customWidth="1"/>
    <col min="52" max="53" width="4.140625" style="14" bestFit="1" customWidth="1"/>
    <col min="54" max="54" width="10.00390625" style="14" customWidth="1"/>
    <col min="55" max="55" width="3.57421875" style="14" customWidth="1"/>
    <col min="56" max="56" width="3.140625" style="14" customWidth="1"/>
    <col min="57" max="57" width="3.28125" style="14" customWidth="1"/>
    <col min="58" max="58" width="13.28125" style="14" customWidth="1"/>
    <col min="59" max="59" width="9.28125" style="14" customWidth="1"/>
    <col min="60" max="77" width="11.421875" style="14" customWidth="1"/>
    <col min="78" max="79" width="11.421875" style="9" customWidth="1"/>
    <col min="80" max="88" width="11.421875" style="14" customWidth="1"/>
    <col min="89" max="90" width="11.421875" style="9" customWidth="1"/>
    <col min="91" max="92" width="11.421875" style="14" customWidth="1"/>
    <col min="93" max="97" width="11.421875" style="9" customWidth="1"/>
    <col min="98" max="100" width="11.421875" style="14" customWidth="1"/>
    <col min="101" max="107" width="11.421875" style="9" customWidth="1"/>
    <col min="108" max="16384" width="11.421875" style="14" customWidth="1"/>
  </cols>
  <sheetData>
    <row r="1" spans="1:50" s="12" customFormat="1" ht="21.75" thickBot="1">
      <c r="A1" s="141" t="s">
        <v>48</v>
      </c>
      <c r="B1" s="141"/>
      <c r="C1" s="141"/>
      <c r="D1" s="141"/>
      <c r="E1" s="11"/>
      <c r="F1" s="10"/>
      <c r="G1" s="141" t="s">
        <v>35</v>
      </c>
      <c r="H1" s="141"/>
      <c r="I1" s="141"/>
      <c r="J1" s="141"/>
      <c r="K1" s="141"/>
      <c r="L1" s="11"/>
      <c r="M1" s="10"/>
      <c r="N1" s="141" t="s">
        <v>32</v>
      </c>
      <c r="O1" s="141"/>
      <c r="P1" s="141"/>
      <c r="Q1" s="141"/>
      <c r="R1" s="141"/>
      <c r="S1" s="11"/>
      <c r="T1" s="10"/>
      <c r="V1" s="12" t="s">
        <v>49</v>
      </c>
      <c r="AB1" s="11"/>
      <c r="AC1" s="10"/>
      <c r="AD1" s="72" t="s">
        <v>50</v>
      </c>
      <c r="AE1" s="11"/>
      <c r="AF1" s="10"/>
      <c r="AJ1" s="11"/>
      <c r="AK1" s="10"/>
      <c r="AL1" s="142" t="s">
        <v>51</v>
      </c>
      <c r="AM1" s="142"/>
      <c r="AN1" s="142"/>
      <c r="AO1" s="11"/>
      <c r="AP1" s="10"/>
      <c r="AQ1" s="12" t="s">
        <v>52</v>
      </c>
      <c r="AV1" s="11"/>
      <c r="AW1" s="10"/>
      <c r="AX1" s="12" t="s">
        <v>53</v>
      </c>
    </row>
    <row r="2" spans="5:49" s="3" customFormat="1" ht="125.25" customHeight="1">
      <c r="E2" s="13"/>
      <c r="F2" s="9"/>
      <c r="G2" s="4"/>
      <c r="H2" s="4"/>
      <c r="I2" s="4"/>
      <c r="J2" s="4"/>
      <c r="K2" s="9"/>
      <c r="L2" s="13"/>
      <c r="M2" s="9"/>
      <c r="N2" s="4"/>
      <c r="R2" s="14"/>
      <c r="S2" s="13"/>
      <c r="T2" s="9"/>
      <c r="AB2" s="13"/>
      <c r="AC2" s="9"/>
      <c r="AD2" s="4"/>
      <c r="AE2" s="13"/>
      <c r="AF2" s="9"/>
      <c r="AJ2" s="13"/>
      <c r="AK2" s="9"/>
      <c r="AL2" s="9"/>
      <c r="AM2" s="15"/>
      <c r="AO2" s="13"/>
      <c r="AP2" s="9"/>
      <c r="AQ2" s="21"/>
      <c r="AR2" s="22" t="s">
        <v>32</v>
      </c>
      <c r="AS2" s="22" t="s">
        <v>61</v>
      </c>
      <c r="AT2" s="22" t="s">
        <v>33</v>
      </c>
      <c r="AU2" s="22" t="s">
        <v>59</v>
      </c>
      <c r="AV2" s="13"/>
      <c r="AW2" s="9"/>
    </row>
    <row r="3" spans="5:57" s="17" customFormat="1" ht="42.75" customHeight="1" thickBot="1">
      <c r="E3" s="18"/>
      <c r="F3" s="19"/>
      <c r="G3" s="19"/>
      <c r="H3" s="19"/>
      <c r="I3" s="19"/>
      <c r="J3" s="19"/>
      <c r="K3" s="19"/>
      <c r="L3" s="18"/>
      <c r="M3" s="19"/>
      <c r="N3" s="19"/>
      <c r="S3" s="18"/>
      <c r="T3" s="19"/>
      <c r="AB3" s="18"/>
      <c r="AC3" s="19"/>
      <c r="AD3" s="19"/>
      <c r="AE3" s="18"/>
      <c r="AF3" s="19"/>
      <c r="AG3" s="20" t="s">
        <v>55</v>
      </c>
      <c r="AH3" s="20" t="s">
        <v>56</v>
      </c>
      <c r="AJ3" s="18"/>
      <c r="AK3" s="19"/>
      <c r="AL3" s="20" t="s">
        <v>57</v>
      </c>
      <c r="AM3" s="20" t="s">
        <v>58</v>
      </c>
      <c r="AN3" s="20" t="s">
        <v>59</v>
      </c>
      <c r="AO3" s="18"/>
      <c r="AP3" s="19"/>
      <c r="AQ3" s="20" t="s">
        <v>60</v>
      </c>
      <c r="AR3" s="140" t="s">
        <v>62</v>
      </c>
      <c r="AS3" s="140"/>
      <c r="AT3" s="140"/>
      <c r="AU3" s="20"/>
      <c r="AV3" s="18"/>
      <c r="AW3" s="19"/>
      <c r="AX3" s="17" t="s">
        <v>63</v>
      </c>
      <c r="AY3" s="171" t="s">
        <v>64</v>
      </c>
      <c r="AZ3" s="171"/>
      <c r="BA3" s="171"/>
      <c r="BB3" s="73" t="s">
        <v>65</v>
      </c>
      <c r="BC3" s="140" t="s">
        <v>66</v>
      </c>
      <c r="BD3" s="140"/>
      <c r="BE3" s="140"/>
    </row>
    <row r="4" spans="1:107" ht="10.5">
      <c r="A4" s="8" t="str">
        <f>Text!B2</f>
        <v>GRUPPE A</v>
      </c>
      <c r="E4" s="13"/>
      <c r="L4" s="13"/>
      <c r="S4" s="13"/>
      <c r="AB4" s="13"/>
      <c r="AE4" s="13"/>
      <c r="AG4" s="16"/>
      <c r="AH4" s="16"/>
      <c r="AJ4" s="13"/>
      <c r="AK4" s="9"/>
      <c r="AL4" s="16"/>
      <c r="AM4" s="16"/>
      <c r="AN4" s="16"/>
      <c r="AO4" s="13"/>
      <c r="AP4" s="9"/>
      <c r="AQ4" s="16"/>
      <c r="AR4" s="170"/>
      <c r="AS4" s="170"/>
      <c r="AT4" s="170"/>
      <c r="AU4" s="16"/>
      <c r="AV4" s="13"/>
      <c r="AW4" s="9"/>
      <c r="AX4" s="14"/>
      <c r="AY4" s="169"/>
      <c r="AZ4" s="169"/>
      <c r="BA4" s="169"/>
      <c r="BB4" s="71"/>
      <c r="BC4" s="170"/>
      <c r="BD4" s="170"/>
      <c r="BE4" s="170"/>
      <c r="BZ4" s="14"/>
      <c r="CA4" s="14"/>
      <c r="CK4" s="14"/>
      <c r="CL4" s="14"/>
      <c r="CO4" s="14"/>
      <c r="CP4" s="14"/>
      <c r="CQ4" s="14"/>
      <c r="CR4" s="14"/>
      <c r="CS4" s="14"/>
      <c r="CW4" s="14"/>
      <c r="CX4" s="14"/>
      <c r="CY4" s="14"/>
      <c r="CZ4" s="14"/>
      <c r="DA4" s="14"/>
      <c r="DB4" s="14"/>
      <c r="DC4" s="14"/>
    </row>
    <row r="5" spans="1:50" s="3" customFormat="1" ht="21">
      <c r="A5" s="23" t="str">
        <f>Vorrunde!E6</f>
        <v>Schweiz</v>
      </c>
      <c r="B5" s="24">
        <f>IF(ISNUMBER(Vorrunde!H6),Vorrunde!H6,"")</f>
      </c>
      <c r="C5" s="24">
        <f>IF(ISNUMBER(Vorrunde!J6),Vorrunde!J6,"")</f>
      </c>
      <c r="D5" s="25" t="str">
        <f>Vorrunde!G6</f>
        <v>Tschechien</v>
      </c>
      <c r="E5" s="26"/>
      <c r="F5" s="27"/>
      <c r="G5" s="28">
        <f>SUM(H6:K9)</f>
        <v>0</v>
      </c>
      <c r="H5" s="29" t="str">
        <f>Text!A3</f>
        <v>SUI</v>
      </c>
      <c r="I5" s="30" t="str">
        <f>Text!A4</f>
        <v>CZE</v>
      </c>
      <c r="J5" s="30" t="str">
        <f>Text!A5</f>
        <v>POR</v>
      </c>
      <c r="K5" s="31" t="str">
        <f>Text!A6</f>
        <v>TUR</v>
      </c>
      <c r="L5" s="26"/>
      <c r="M5" s="27"/>
      <c r="N5" s="28">
        <f>SUM(O6:R9)</f>
        <v>0</v>
      </c>
      <c r="O5" s="29" t="str">
        <f>Text!A3</f>
        <v>SUI</v>
      </c>
      <c r="P5" s="30" t="str">
        <f>Text!A4</f>
        <v>CZE</v>
      </c>
      <c r="Q5" s="30" t="str">
        <f>Text!A5</f>
        <v>POR</v>
      </c>
      <c r="R5" s="31" t="str">
        <f>Text!A6</f>
        <v>TUR</v>
      </c>
      <c r="S5" s="26"/>
      <c r="T5" s="27"/>
      <c r="W5" s="32" t="str">
        <f>Text!A$33</f>
        <v>Sp.</v>
      </c>
      <c r="X5" s="33" t="str">
        <f>Text!A$34</f>
        <v>Pkte.</v>
      </c>
      <c r="Y5" s="33" t="str">
        <f>Text!A$35</f>
        <v>T</v>
      </c>
      <c r="Z5" s="33" t="str">
        <f>Text!A$36</f>
        <v>GT</v>
      </c>
      <c r="AA5" s="34" t="str">
        <f>Text!A$37</f>
        <v>Diff.</v>
      </c>
      <c r="AB5" s="26"/>
      <c r="AC5" s="27"/>
      <c r="AD5" s="4"/>
      <c r="AE5" s="26"/>
      <c r="AF5" s="27"/>
      <c r="AJ5" s="26"/>
      <c r="AK5" s="27"/>
      <c r="AL5" s="27"/>
      <c r="AM5" s="14"/>
      <c r="AN5" s="14"/>
      <c r="AO5" s="26"/>
      <c r="AP5" s="27"/>
      <c r="AQ5" s="35" t="e">
        <f>MATCH(1,AH6:AH9,0)</f>
        <v>#N/A</v>
      </c>
      <c r="AV5" s="26"/>
      <c r="AW5" s="27"/>
      <c r="AX5" s="15"/>
    </row>
    <row r="6" spans="1:59" s="3" customFormat="1" ht="10.5" outlineLevel="1">
      <c r="A6" s="36" t="str">
        <f>Vorrunde!E7</f>
        <v>Portugal</v>
      </c>
      <c r="B6" s="9">
        <f>IF(ISNUMBER(Vorrunde!H7),Vorrunde!H7,"")</f>
      </c>
      <c r="C6" s="9">
        <f>IF(ISNUMBER(Vorrunde!J7),Vorrunde!J7,"")</f>
      </c>
      <c r="D6" s="37" t="str">
        <f>Vorrunde!G7</f>
        <v>Türkei</v>
      </c>
      <c r="E6" s="13"/>
      <c r="F6" s="9"/>
      <c r="G6" s="38" t="str">
        <f>Text!A3</f>
        <v>SUI</v>
      </c>
      <c r="H6" s="39"/>
      <c r="I6" s="40">
        <f>B5</f>
      </c>
      <c r="J6" s="40">
        <f>B9</f>
      </c>
      <c r="K6" s="41">
        <f>B8</f>
      </c>
      <c r="L6" s="13"/>
      <c r="M6" s="9"/>
      <c r="N6" s="38" t="str">
        <f>Text!A3</f>
        <v>SUI</v>
      </c>
      <c r="O6" s="39"/>
      <c r="P6" s="40">
        <f>IF(AND(ISNUMBER(I6),ISNUMBER(H7)),IF(I6&gt;H7,3,IF(I6=H7,1,0)),0)</f>
        <v>0</v>
      </c>
      <c r="Q6" s="40">
        <f>IF(AND(ISNUMBER(J6),ISNUMBER(H8)),IF(J6&gt;H8,3,IF(J6=H8,1,0)),0)</f>
        <v>0</v>
      </c>
      <c r="R6" s="41">
        <f>IF(AND(ISNUMBER(K6),ISNUMBER(H9)),IF(K6&gt;H9,3,IF(K6=H9,1,0)),0)</f>
        <v>0</v>
      </c>
      <c r="S6" s="13"/>
      <c r="T6" s="9"/>
      <c r="U6" s="3">
        <v>1</v>
      </c>
      <c r="V6" s="42" t="str">
        <f>Text!B3</f>
        <v>Schweiz</v>
      </c>
      <c r="W6" s="43">
        <f>IF(COUNT(H6:K6)=COUNT(H6:H9),COUNT(H6:H9),"")</f>
        <v>0</v>
      </c>
      <c r="X6" s="40">
        <f>SUM(O6:R6)</f>
        <v>0</v>
      </c>
      <c r="Y6" s="40">
        <f>SUM(H6:K6)</f>
        <v>0</v>
      </c>
      <c r="Z6" s="40">
        <f>SUM(H6:H9)</f>
        <v>0</v>
      </c>
      <c r="AA6" s="41">
        <f>Y6-Z6</f>
        <v>0</v>
      </c>
      <c r="AB6" s="13"/>
      <c r="AC6" s="9"/>
      <c r="AD6" s="44">
        <f>BB6</f>
        <v>1</v>
      </c>
      <c r="AE6" s="13"/>
      <c r="AF6" s="9"/>
      <c r="AG6" s="42">
        <f>X6*10000+AA6*100+Y6</f>
        <v>0</v>
      </c>
      <c r="AH6" s="42">
        <f>COUNTIF(AG6:AG9,AG6)</f>
        <v>4</v>
      </c>
      <c r="AI6" s="42">
        <f>IF(AH6=1,"x","")</f>
      </c>
      <c r="AJ6" s="13"/>
      <c r="AK6" s="9"/>
      <c r="AL6" s="45">
        <f>IF(AI6="x",1,IF(AG7=AG6,2,IF(AG8=AG6,3,4)))</f>
        <v>2</v>
      </c>
      <c r="AM6" s="42">
        <f>INDEX(O6:R6,1,AL6)</f>
        <v>0</v>
      </c>
      <c r="AN6" s="46">
        <f>IF(OR(AH10=2,AH10=4),AM6/10,0)</f>
        <v>0</v>
      </c>
      <c r="AO6" s="13"/>
      <c r="AP6" s="9"/>
      <c r="AQ6" s="9"/>
      <c r="AR6" s="43" t="e">
        <f>X6-INDEX(O6:R6,1,AQ5)</f>
        <v>#N/A</v>
      </c>
      <c r="AS6" s="42" t="e">
        <f>AA6-(INDEX(H6:K6,1,AQ5)-INDEX(H6:H9,AQ5,1))</f>
        <v>#N/A</v>
      </c>
      <c r="AT6" s="43" t="e">
        <f>Y6-INDEX(H6:K6,1,AQ5)</f>
        <v>#N/A</v>
      </c>
      <c r="AU6" s="46">
        <f>IF(OR(AH10&lt;&gt;3,AI6="x"),0,AR6/10+AS6/1000+AT6/100000)</f>
        <v>0</v>
      </c>
      <c r="AV6" s="13"/>
      <c r="AW6" s="9"/>
      <c r="AX6" s="46">
        <f>AG6+AN6+AU6</f>
        <v>0</v>
      </c>
      <c r="AY6" s="43">
        <f>IF(INDEX(AX6:AX9,U6)&gt;=INDEX(AX6:AX9,U7),U6,U7)</f>
        <v>1</v>
      </c>
      <c r="AZ6" s="40">
        <f>IF(INDEX(AX6:AX9,AY6)&gt;=INDEX(AX6:AX9,AY8),AY6,AY8)</f>
        <v>1</v>
      </c>
      <c r="BA6" s="41">
        <f>IF(INDEX(AX6:AX9,AZ6)&gt;=INDEX(AX6:AX9,AZ9),AZ6,AZ9)</f>
        <v>1</v>
      </c>
      <c r="BB6" s="44">
        <f>MATCH(U6,BA6:BA9,0)</f>
        <v>1</v>
      </c>
      <c r="BC6" s="43">
        <f>COUNTIF(AX6:AX9,AX6)</f>
        <v>4</v>
      </c>
      <c r="BD6" s="41">
        <f>IF(BC6=1,"x","")</f>
      </c>
      <c r="BE6" s="42">
        <f>(BD6="x")*BB6</f>
        <v>0</v>
      </c>
      <c r="BF6" s="14"/>
      <c r="BG6" s="14"/>
    </row>
    <row r="7" spans="1:59" s="3" customFormat="1" ht="10.5" outlineLevel="1">
      <c r="A7" s="36" t="str">
        <f>Vorrunde!E8</f>
        <v>Tschechien</v>
      </c>
      <c r="B7" s="9">
        <f>IF(ISNUMBER(Vorrunde!H8),Vorrunde!H8,"")</f>
      </c>
      <c r="C7" s="9">
        <f>IF(ISNUMBER(Vorrunde!J8),Vorrunde!J8,"")</f>
      </c>
      <c r="D7" s="37" t="str">
        <f>Vorrunde!G8</f>
        <v>Portugal</v>
      </c>
      <c r="E7" s="13"/>
      <c r="F7" s="9"/>
      <c r="G7" s="47" t="str">
        <f>Text!A4</f>
        <v>CZE</v>
      </c>
      <c r="H7" s="48">
        <f>C5</f>
      </c>
      <c r="I7" s="49"/>
      <c r="J7" s="14">
        <f>B7</f>
      </c>
      <c r="K7" s="50">
        <f>C10</f>
      </c>
      <c r="L7" s="13"/>
      <c r="M7" s="9"/>
      <c r="N7" s="47" t="str">
        <f>Text!A4</f>
        <v>CZE</v>
      </c>
      <c r="O7" s="48">
        <f>IF(AND(ISNUMBER(H7),ISNUMBER(I6)),IF(H7&gt;I6,3,IF(H7=I6,1,0)),0)</f>
        <v>0</v>
      </c>
      <c r="P7" s="49"/>
      <c r="Q7" s="14">
        <f>IF(AND(ISNUMBER(J7),ISNUMBER(I8)),IF(J7&gt;I8,3,IF(J7=I8,1,0)),0)</f>
        <v>0</v>
      </c>
      <c r="R7" s="50">
        <f>IF(AND(ISNUMBER(K7),ISNUMBER(I9)),IF(K7&gt;I9,3,IF(K7=I9,1,0)),0)</f>
        <v>0</v>
      </c>
      <c r="S7" s="13"/>
      <c r="T7" s="9"/>
      <c r="U7" s="3">
        <v>2</v>
      </c>
      <c r="V7" s="51" t="str">
        <f>Text!B4</f>
        <v>Tschechien</v>
      </c>
      <c r="W7" s="48">
        <f>IF(COUNT(H7:K7)=COUNT(I6:I9),COUNT(I6:I9),"")</f>
        <v>0</v>
      </c>
      <c r="X7" s="14">
        <f>SUM(O7:R7)</f>
        <v>0</v>
      </c>
      <c r="Y7" s="14">
        <f>SUM(H7:K7)</f>
        <v>0</v>
      </c>
      <c r="Z7" s="14">
        <f>SUM(I6:I9)</f>
        <v>0</v>
      </c>
      <c r="AA7" s="50">
        <f>Y7-Z7</f>
        <v>0</v>
      </c>
      <c r="AB7" s="13"/>
      <c r="AC7" s="9"/>
      <c r="AD7" s="52">
        <f>BB7</f>
        <v>2</v>
      </c>
      <c r="AE7" s="13"/>
      <c r="AF7" s="9"/>
      <c r="AG7" s="51">
        <f>X7*10000+AA7*100+Y7</f>
        <v>0</v>
      </c>
      <c r="AH7" s="51">
        <f>COUNTIF(AG6:AG9,AG7)</f>
        <v>4</v>
      </c>
      <c r="AI7" s="51">
        <f>IF(AH7=1,"x","")</f>
      </c>
      <c r="AJ7" s="13"/>
      <c r="AK7" s="9"/>
      <c r="AL7" s="53">
        <f>IF(AI7="x",2,IF(AG8=AG7,3,IF(AG9=AG7,4,1)))</f>
        <v>3</v>
      </c>
      <c r="AM7" s="51">
        <f>INDEX(O7:R7,1,AL7)</f>
        <v>0</v>
      </c>
      <c r="AN7" s="54">
        <f>IF(OR(AH10=2,AH10=4),AM7/10,0)</f>
        <v>0</v>
      </c>
      <c r="AO7" s="13"/>
      <c r="AP7" s="9"/>
      <c r="AQ7" s="9"/>
      <c r="AR7" s="48" t="e">
        <f>X7-INDEX(O7:R7,1,AQ5)</f>
        <v>#N/A</v>
      </c>
      <c r="AS7" s="51" t="e">
        <f>AA7-(INDEX(H7:K7,1,AQ5)-INDEX(I6:I9,AQ5))</f>
        <v>#N/A</v>
      </c>
      <c r="AT7" s="48" t="e">
        <f>Y7-INDEX(H7:K7,1,AQ5)</f>
        <v>#N/A</v>
      </c>
      <c r="AU7" s="54">
        <f>IF(OR(AH10&lt;&gt;3,AI7="x"),0,AR7/10+AS7/1000+AT7/100000)</f>
        <v>0</v>
      </c>
      <c r="AV7" s="13"/>
      <c r="AW7" s="9"/>
      <c r="AX7" s="54">
        <f>AG7+AN7+AU7</f>
        <v>0</v>
      </c>
      <c r="AY7" s="48">
        <f>IF(INDEX(AX6:AX9,U7)&lt;=INDEX(AX6:AX9,U6),U7,U6)</f>
        <v>2</v>
      </c>
      <c r="AZ7" s="14">
        <f>IF(INDEX(AX6:AX9,AY7)&gt;=INDEX(AX6:AX9,AY9),AY7,AY9)</f>
        <v>2</v>
      </c>
      <c r="BA7" s="50">
        <f>IF(INDEX(AX6:AX9,AZ7)&gt;=INDEX(AX6:AX9,AZ8),AZ7,AZ8)</f>
        <v>2</v>
      </c>
      <c r="BB7" s="52">
        <f>MATCH(U7,BA6:BA9,0)</f>
        <v>2</v>
      </c>
      <c r="BC7" s="48">
        <f>COUNTIF(AX6:AX9,AX7)</f>
        <v>4</v>
      </c>
      <c r="BD7" s="50">
        <f>IF(BC7=1,"x","")</f>
      </c>
      <c r="BE7" s="51">
        <f>(BD7="x")*BB7</f>
        <v>0</v>
      </c>
      <c r="BF7" s="14"/>
      <c r="BG7" s="14"/>
    </row>
    <row r="8" spans="1:59" s="3" customFormat="1" ht="10.5" outlineLevel="1">
      <c r="A8" s="36" t="str">
        <f>Vorrunde!E9</f>
        <v>Schweiz</v>
      </c>
      <c r="B8" s="9">
        <f>IF(ISNUMBER(Vorrunde!H9),Vorrunde!H9,"")</f>
      </c>
      <c r="C8" s="9">
        <f>IF(ISNUMBER(Vorrunde!J9),Vorrunde!J9,"")</f>
      </c>
      <c r="D8" s="37" t="str">
        <f>Vorrunde!G9</f>
        <v>Türkei</v>
      </c>
      <c r="E8" s="13"/>
      <c r="F8" s="9"/>
      <c r="G8" s="47" t="str">
        <f>Text!A5</f>
        <v>POR</v>
      </c>
      <c r="H8" s="48">
        <f>C9</f>
      </c>
      <c r="I8" s="14">
        <f>C7</f>
      </c>
      <c r="J8" s="49"/>
      <c r="K8" s="50">
        <f>B6</f>
      </c>
      <c r="L8" s="13"/>
      <c r="M8" s="9"/>
      <c r="N8" s="47" t="str">
        <f>Text!A5</f>
        <v>POR</v>
      </c>
      <c r="O8" s="48">
        <f>IF(AND(ISNUMBER(H8),ISNUMBER(J6)),IF(H8&gt;J6,3,IF(H8=J6,1,0)),0)</f>
        <v>0</v>
      </c>
      <c r="P8" s="14">
        <f>IF(AND(ISNUMBER(I8),ISNUMBER(J7)),IF(I8&gt;J7,3,IF(I8=J7,1,0)),0)</f>
        <v>0</v>
      </c>
      <c r="Q8" s="49"/>
      <c r="R8" s="50">
        <f>IF(AND(ISNUMBER(K8),ISNUMBER(J9)),IF(K8&gt;J9,3,IF(K8=J9,1,0)),0)</f>
        <v>0</v>
      </c>
      <c r="S8" s="13"/>
      <c r="T8" s="9"/>
      <c r="U8" s="3">
        <v>3</v>
      </c>
      <c r="V8" s="51" t="str">
        <f>Text!B5</f>
        <v>Portugal</v>
      </c>
      <c r="W8" s="48">
        <f>IF(COUNT(H8:K8)=COUNT(J6:J9),COUNT(J6:J9),"")</f>
        <v>0</v>
      </c>
      <c r="X8" s="14">
        <f>SUM(O8:R8)</f>
        <v>0</v>
      </c>
      <c r="Y8" s="14">
        <f>SUM(H8:K8)</f>
        <v>0</v>
      </c>
      <c r="Z8" s="14">
        <f>SUM(J6:J9)</f>
        <v>0</v>
      </c>
      <c r="AA8" s="50">
        <f>Y8-Z8</f>
        <v>0</v>
      </c>
      <c r="AB8" s="13"/>
      <c r="AC8" s="9"/>
      <c r="AD8" s="52">
        <f>BB8</f>
        <v>3</v>
      </c>
      <c r="AE8" s="13"/>
      <c r="AF8" s="9"/>
      <c r="AG8" s="51">
        <f>X8*10000+AA8*100+Y8</f>
        <v>0</v>
      </c>
      <c r="AH8" s="51">
        <f>COUNTIF(AG6:AG9,AG8)</f>
        <v>4</v>
      </c>
      <c r="AI8" s="51">
        <f>IF(AH8=1,"x","")</f>
      </c>
      <c r="AJ8" s="13"/>
      <c r="AK8" s="9"/>
      <c r="AL8" s="53">
        <f>IF(AI8="x",3,IF(AG9=AG8,4,IF(AG7=AG8,2,1)))</f>
        <v>4</v>
      </c>
      <c r="AM8" s="51">
        <f>INDEX(O8:R8,1,AL8)</f>
        <v>0</v>
      </c>
      <c r="AN8" s="54">
        <f>IF(OR(AH10=2,AH10=4),AM8/10,0)</f>
        <v>0</v>
      </c>
      <c r="AO8" s="13"/>
      <c r="AP8" s="9"/>
      <c r="AQ8" s="9"/>
      <c r="AR8" s="48" t="e">
        <f>X8-INDEX(O8:R8,1,AQ5)</f>
        <v>#N/A</v>
      </c>
      <c r="AS8" s="51" t="e">
        <f>AA8-(INDEX(H8:K8,1,AQ5)-INDEX(J6:J9,AQ5))</f>
        <v>#N/A</v>
      </c>
      <c r="AT8" s="48" t="e">
        <f>Y8-INDEX(H8:K8,1,AQ5)</f>
        <v>#N/A</v>
      </c>
      <c r="AU8" s="54">
        <f>IF(OR(AH10&lt;&gt;3,AI8="x"),0,AR8/10+AS8/1000+AT8/100000)</f>
        <v>0</v>
      </c>
      <c r="AV8" s="13"/>
      <c r="AW8" s="9"/>
      <c r="AX8" s="54">
        <f>AG8+AN8+AU8</f>
        <v>0</v>
      </c>
      <c r="AY8" s="48">
        <f>IF(INDEX(AX6:AX9,U8)&gt;=INDEX(AX6:AX9,U9),U8,U9)</f>
        <v>3</v>
      </c>
      <c r="AZ8" s="14">
        <f>IF(INDEX(AX6:AX9,AY8)&lt;=INDEX(AX6:AX9,AY6),AY8,AY6)</f>
        <v>3</v>
      </c>
      <c r="BA8" s="50">
        <f>IF(INDEX(AX6:AX9,AZ8)&lt;=INDEX(AX6:AX9,AZ7),AZ8,AZ7)</f>
        <v>3</v>
      </c>
      <c r="BB8" s="52">
        <f>MATCH(U8,BA6:BA9,0)</f>
        <v>3</v>
      </c>
      <c r="BC8" s="48">
        <f>COUNTIF(AX6:AX9,AX8)</f>
        <v>4</v>
      </c>
      <c r="BD8" s="50">
        <f>IF(BC8=1,"x","")</f>
      </c>
      <c r="BE8" s="51">
        <f>(BD8="x")*BB8</f>
        <v>0</v>
      </c>
      <c r="BF8" s="14"/>
      <c r="BG8" s="14"/>
    </row>
    <row r="9" spans="1:59" s="3" customFormat="1" ht="10.5" outlineLevel="1">
      <c r="A9" s="36" t="str">
        <f>Vorrunde!E10</f>
        <v>Schweiz</v>
      </c>
      <c r="B9" s="9">
        <f>IF(ISNUMBER(Vorrunde!H10),Vorrunde!H10,"")</f>
      </c>
      <c r="C9" s="9">
        <f>IF(ISNUMBER(Vorrunde!J10),Vorrunde!J10,"")</f>
      </c>
      <c r="D9" s="37" t="str">
        <f>Vorrunde!G10</f>
        <v>Portugal</v>
      </c>
      <c r="E9" s="55"/>
      <c r="F9" s="14"/>
      <c r="G9" s="56" t="str">
        <f>Text!A6</f>
        <v>TUR</v>
      </c>
      <c r="H9" s="57">
        <f>C8</f>
      </c>
      <c r="I9" s="58">
        <f>B10</f>
      </c>
      <c r="J9" s="58">
        <f>C6</f>
      </c>
      <c r="K9" s="59"/>
      <c r="L9" s="55"/>
      <c r="M9" s="14"/>
      <c r="N9" s="56" t="str">
        <f>Text!A6</f>
        <v>TUR</v>
      </c>
      <c r="O9" s="57">
        <f>IF(AND(ISNUMBER(H9),ISNUMBER(K6)),IF(H9&gt;K6,3,IF(H9=K6,1,0)),0)</f>
        <v>0</v>
      </c>
      <c r="P9" s="58">
        <f>IF(AND(ISNUMBER(I9),ISNUMBER(K7)),IF(I9&gt;K7,3,IF(I9=K7,1,0)),0)</f>
        <v>0</v>
      </c>
      <c r="Q9" s="58">
        <f>IF(AND(ISNUMBER(J9),ISNUMBER(K8)),IF(J9&gt;K8,3,IF(J9=K8,1,0)),0)</f>
        <v>0</v>
      </c>
      <c r="R9" s="59"/>
      <c r="S9" s="55"/>
      <c r="T9" s="14"/>
      <c r="U9" s="3">
        <v>4</v>
      </c>
      <c r="V9" s="60" t="str">
        <f>Text!B6</f>
        <v>Türkei</v>
      </c>
      <c r="W9" s="57">
        <f>IF(COUNT(H9:K9)=COUNT(K6:K9),COUNT(K6:K9),"")</f>
        <v>0</v>
      </c>
      <c r="X9" s="58">
        <f>SUM(O9:R9)</f>
        <v>0</v>
      </c>
      <c r="Y9" s="58">
        <f>SUM(H9:K9)</f>
        <v>0</v>
      </c>
      <c r="Z9" s="58">
        <f>SUM(K6:K9)</f>
        <v>0</v>
      </c>
      <c r="AA9" s="61">
        <f>Y9-Z9</f>
        <v>0</v>
      </c>
      <c r="AB9" s="55"/>
      <c r="AC9" s="14"/>
      <c r="AD9" s="62">
        <f>BB9</f>
        <v>4</v>
      </c>
      <c r="AE9" s="55"/>
      <c r="AF9" s="14"/>
      <c r="AG9" s="60">
        <f>X9*10000+AA9*100+Y9</f>
        <v>0</v>
      </c>
      <c r="AH9" s="60">
        <f>COUNTIF(AG6:AG9,AG9)</f>
        <v>4</v>
      </c>
      <c r="AI9" s="60">
        <f>IF(AH9=1,"x","")</f>
      </c>
      <c r="AJ9" s="55"/>
      <c r="AK9" s="14"/>
      <c r="AL9" s="63">
        <f>IF(AI9="x",4,IF(AG6=AG9,1,IF(AG7=AG9,2,3)))</f>
        <v>1</v>
      </c>
      <c r="AM9" s="60">
        <f>INDEX(O9:R9,1,AL9)</f>
        <v>0</v>
      </c>
      <c r="AN9" s="64">
        <f>IF(OR(AH10=2,AH10=4),AM9/10,0)</f>
        <v>0</v>
      </c>
      <c r="AO9" s="55"/>
      <c r="AP9" s="14"/>
      <c r="AQ9" s="14"/>
      <c r="AR9" s="57" t="e">
        <f>X9-INDEX(O9:R9,1,AQ5)</f>
        <v>#N/A</v>
      </c>
      <c r="AS9" s="60" t="e">
        <f>AA9-(INDEX(H9:K9,1,AQ5)-INDEX(K6:K9,AQ5))</f>
        <v>#N/A</v>
      </c>
      <c r="AT9" s="57" t="e">
        <f>Y9-INDEX(H9:K9,1,AQ5)</f>
        <v>#N/A</v>
      </c>
      <c r="AU9" s="64">
        <f>IF(OR(AH10&lt;&gt;3,AI9="x"),0,AR9/10+AS9/1000+AT9/100000)</f>
        <v>0</v>
      </c>
      <c r="AV9" s="55"/>
      <c r="AW9" s="14"/>
      <c r="AX9" s="64">
        <f>AG9+AN9+AU9</f>
        <v>0</v>
      </c>
      <c r="AY9" s="57">
        <f>IF(INDEX(AX6:AX9,U9)&lt;=INDEX(AX6:AX9,U8),U9,U8)</f>
        <v>4</v>
      </c>
      <c r="AZ9" s="58">
        <f>IF(INDEX(AX6:AX9,AY9)&lt;=INDEX(AX6:AX9,AY7),AY9,AY7)</f>
        <v>4</v>
      </c>
      <c r="BA9" s="61">
        <f>IF(INDEX(AX6:AX9,AZ9)&lt;=INDEX(AX6:AX9,AZ6),AZ9,AZ6)</f>
        <v>4</v>
      </c>
      <c r="BB9" s="62">
        <f>MATCH(U9,BA6:BA9,0)</f>
        <v>4</v>
      </c>
      <c r="BC9" s="57">
        <f>COUNTIF(AX6:AX9,AX9)</f>
        <v>4</v>
      </c>
      <c r="BD9" s="61">
        <f>IF(BC9=1,"x","")</f>
      </c>
      <c r="BE9" s="51">
        <f>(BD9="x")*BB9</f>
        <v>0</v>
      </c>
      <c r="BF9" s="14"/>
      <c r="BG9" s="14"/>
    </row>
    <row r="10" spans="1:59" s="3" customFormat="1" ht="10.5">
      <c r="A10" s="65" t="str">
        <f>Vorrunde!E11</f>
        <v>Türkei</v>
      </c>
      <c r="B10" s="66">
        <f>IF(ISNUMBER(Vorrunde!H11),Vorrunde!H11,"")</f>
      </c>
      <c r="C10" s="66">
        <f>IF(ISNUMBER(Vorrunde!J11),Vorrunde!J11,"")</f>
      </c>
      <c r="D10" s="67" t="str">
        <f>Vorrunde!G11</f>
        <v>Tschechien</v>
      </c>
      <c r="E10" s="13"/>
      <c r="F10" s="9"/>
      <c r="G10" s="4"/>
      <c r="H10" s="4"/>
      <c r="I10" s="4"/>
      <c r="J10" s="4"/>
      <c r="K10" s="9"/>
      <c r="L10" s="13"/>
      <c r="M10" s="9"/>
      <c r="N10" s="4"/>
      <c r="R10" s="14"/>
      <c r="S10" s="13"/>
      <c r="T10" s="9"/>
      <c r="V10" s="5" t="s">
        <v>54</v>
      </c>
      <c r="W10" s="3" t="b">
        <f>SUM(W6:W9)=12</f>
        <v>0</v>
      </c>
      <c r="AB10" s="13"/>
      <c r="AC10" s="9"/>
      <c r="AD10" s="62">
        <f>BF10</f>
      </c>
      <c r="AE10" s="13"/>
      <c r="AF10" s="9"/>
      <c r="AG10" s="68" t="s">
        <v>67</v>
      </c>
      <c r="AH10" s="69">
        <f>MOD(MIN(AH6:AH9)*MAX(AH6:AH9),11)</f>
        <v>5</v>
      </c>
      <c r="AJ10" s="13"/>
      <c r="AK10" s="9"/>
      <c r="AL10" s="9"/>
      <c r="AM10" s="14"/>
      <c r="AN10" s="14"/>
      <c r="AO10" s="13"/>
      <c r="AP10" s="9"/>
      <c r="AQ10" s="9"/>
      <c r="AV10" s="13"/>
      <c r="AW10" s="9"/>
      <c r="BD10" s="70">
        <f>COUNTIF(BD6:BD9,"x")</f>
        <v>0</v>
      </c>
      <c r="BE10" s="69">
        <f>SUM(BE6:BE9)</f>
        <v>0</v>
      </c>
      <c r="BF10" s="69">
        <f>IF(W10,IF(BD10&gt;=3,Text!B$40,IF(AND(BD10=2,BE10=3),Text!B$41,Text!B$42)),"")</f>
      </c>
      <c r="BG10" s="14"/>
    </row>
    <row r="11" spans="1:107" ht="10.5">
      <c r="A11" s="8"/>
      <c r="E11" s="13"/>
      <c r="L11" s="13"/>
      <c r="S11" s="13"/>
      <c r="AB11" s="13"/>
      <c r="AE11" s="13"/>
      <c r="AG11" s="16"/>
      <c r="AH11" s="16"/>
      <c r="AJ11" s="13"/>
      <c r="AK11" s="9"/>
      <c r="AL11" s="16"/>
      <c r="AM11" s="16"/>
      <c r="AN11" s="16"/>
      <c r="AO11" s="13"/>
      <c r="AP11" s="9"/>
      <c r="AQ11" s="16"/>
      <c r="AR11" s="170"/>
      <c r="AS11" s="170"/>
      <c r="AT11" s="170"/>
      <c r="AU11" s="16"/>
      <c r="AV11" s="13"/>
      <c r="AW11" s="9"/>
      <c r="AX11" s="14"/>
      <c r="AY11" s="169"/>
      <c r="AZ11" s="169"/>
      <c r="BA11" s="169"/>
      <c r="BB11" s="71"/>
      <c r="BC11" s="170"/>
      <c r="BD11" s="170"/>
      <c r="BE11" s="170"/>
      <c r="BZ11" s="14"/>
      <c r="CA11" s="14"/>
      <c r="CK11" s="14"/>
      <c r="CL11" s="14"/>
      <c r="CO11" s="14"/>
      <c r="CP11" s="14"/>
      <c r="CQ11" s="14"/>
      <c r="CR11" s="14"/>
      <c r="CS11" s="14"/>
      <c r="CW11" s="14"/>
      <c r="CX11" s="14"/>
      <c r="CY11" s="14"/>
      <c r="CZ11" s="14"/>
      <c r="DA11" s="14"/>
      <c r="DB11" s="14"/>
      <c r="DC11" s="14"/>
    </row>
    <row r="12" spans="1:107" ht="10.5">
      <c r="A12" s="8" t="str">
        <f>Text!B10</f>
        <v>GRUPPE B</v>
      </c>
      <c r="E12" s="13"/>
      <c r="L12" s="13"/>
      <c r="S12" s="13"/>
      <c r="AB12" s="13"/>
      <c r="AE12" s="13"/>
      <c r="AG12" s="16"/>
      <c r="AH12" s="16"/>
      <c r="AJ12" s="13"/>
      <c r="AK12" s="9"/>
      <c r="AL12" s="16"/>
      <c r="AM12" s="16"/>
      <c r="AN12" s="16"/>
      <c r="AO12" s="13"/>
      <c r="AP12" s="9"/>
      <c r="AQ12" s="16"/>
      <c r="AR12" s="170"/>
      <c r="AS12" s="170"/>
      <c r="AT12" s="170"/>
      <c r="AU12" s="16"/>
      <c r="AV12" s="13"/>
      <c r="AW12" s="9"/>
      <c r="AX12" s="14"/>
      <c r="AY12" s="169"/>
      <c r="AZ12" s="169"/>
      <c r="BA12" s="169"/>
      <c r="BB12" s="71"/>
      <c r="BC12" s="170"/>
      <c r="BD12" s="170"/>
      <c r="BE12" s="170"/>
      <c r="BZ12" s="14"/>
      <c r="CA12" s="14"/>
      <c r="CK12" s="14"/>
      <c r="CL12" s="14"/>
      <c r="CO12" s="14"/>
      <c r="CP12" s="14"/>
      <c r="CQ12" s="14"/>
      <c r="CR12" s="14"/>
      <c r="CS12" s="14"/>
      <c r="CW12" s="14"/>
      <c r="CX12" s="14"/>
      <c r="CY12" s="14"/>
      <c r="CZ12" s="14"/>
      <c r="DA12" s="14"/>
      <c r="DB12" s="14"/>
      <c r="DC12" s="14"/>
    </row>
    <row r="13" spans="1:50" s="3" customFormat="1" ht="21.75">
      <c r="A13" s="23" t="str">
        <f>Vorrunde!E14</f>
        <v>Österreich</v>
      </c>
      <c r="B13" s="24">
        <f>IF(ISNUMBER(Vorrunde!H14),Vorrunde!H14,"")</f>
      </c>
      <c r="C13" s="24">
        <f>IF(ISNUMBER(Vorrunde!J14),Vorrunde!J14,"")</f>
      </c>
      <c r="D13" s="25" t="str">
        <f>Vorrunde!G14</f>
        <v>Kroatien</v>
      </c>
      <c r="E13" s="26"/>
      <c r="F13" s="27"/>
      <c r="G13" s="28">
        <f>SUM(H14:K17)</f>
        <v>0</v>
      </c>
      <c r="H13" s="29" t="str">
        <f>Text!A11</f>
        <v>AUT</v>
      </c>
      <c r="I13" s="30" t="str">
        <f>Text!A12</f>
        <v>CRO</v>
      </c>
      <c r="J13" s="30" t="str">
        <f>Text!A13</f>
        <v>GER</v>
      </c>
      <c r="K13" s="31" t="str">
        <f>Text!A14</f>
        <v>POL</v>
      </c>
      <c r="L13" s="26"/>
      <c r="M13" s="27"/>
      <c r="N13" s="28">
        <f>SUM(O14:R17)</f>
        <v>0</v>
      </c>
      <c r="O13" s="29" t="str">
        <f>Text!A11</f>
        <v>AUT</v>
      </c>
      <c r="P13" s="30" t="str">
        <f>Text!A12</f>
        <v>CRO</v>
      </c>
      <c r="Q13" s="30" t="str">
        <f>Text!A13</f>
        <v>GER</v>
      </c>
      <c r="R13" s="31" t="str">
        <f>Text!A14</f>
        <v>POL</v>
      </c>
      <c r="S13" s="26"/>
      <c r="T13" s="27"/>
      <c r="W13" s="32" t="str">
        <f>Text!A$33</f>
        <v>Sp.</v>
      </c>
      <c r="X13" s="33" t="str">
        <f>Text!A$34</f>
        <v>Pkte.</v>
      </c>
      <c r="Y13" s="33" t="str">
        <f>Text!A$35</f>
        <v>T</v>
      </c>
      <c r="Z13" s="33" t="str">
        <f>Text!A$36</f>
        <v>GT</v>
      </c>
      <c r="AA13" s="34" t="str">
        <f>Text!A$37</f>
        <v>Diff.</v>
      </c>
      <c r="AB13" s="26"/>
      <c r="AC13" s="27"/>
      <c r="AD13" s="4"/>
      <c r="AE13" s="26"/>
      <c r="AF13" s="27"/>
      <c r="AJ13" s="26"/>
      <c r="AK13" s="27"/>
      <c r="AL13" s="27"/>
      <c r="AM13" s="14"/>
      <c r="AN13" s="14"/>
      <c r="AO13" s="26"/>
      <c r="AP13" s="27"/>
      <c r="AQ13" s="35" t="e">
        <f>MATCH(1,AH14:AH17,0)</f>
        <v>#N/A</v>
      </c>
      <c r="AV13" s="26"/>
      <c r="AW13" s="27"/>
      <c r="AX13" s="15"/>
    </row>
    <row r="14" spans="1:59" s="3" customFormat="1" ht="10.5" outlineLevel="1">
      <c r="A14" s="36" t="str">
        <f>Vorrunde!E15</f>
        <v>Deutschland</v>
      </c>
      <c r="B14" s="9">
        <f>IF(ISNUMBER(Vorrunde!H15),Vorrunde!H15,"")</f>
      </c>
      <c r="C14" s="9">
        <f>IF(ISNUMBER(Vorrunde!J15),Vorrunde!J15,"")</f>
      </c>
      <c r="D14" s="37" t="str">
        <f>Vorrunde!G15</f>
        <v>Polen</v>
      </c>
      <c r="E14" s="13"/>
      <c r="F14" s="9"/>
      <c r="G14" s="38" t="str">
        <f>Text!A11</f>
        <v>AUT</v>
      </c>
      <c r="H14" s="39"/>
      <c r="I14" s="40">
        <f>B13</f>
      </c>
      <c r="J14" s="40">
        <f>B18</f>
      </c>
      <c r="K14" s="41">
        <f>B16</f>
      </c>
      <c r="L14" s="13"/>
      <c r="M14" s="9"/>
      <c r="N14" s="38" t="str">
        <f>Text!A11</f>
        <v>AUT</v>
      </c>
      <c r="O14" s="39"/>
      <c r="P14" s="40">
        <f>IF(AND(ISNUMBER(I14),ISNUMBER(H15)),IF(I14&gt;H15,3,IF(I14=H15,1,0)),0)</f>
        <v>0</v>
      </c>
      <c r="Q14" s="40">
        <f>IF(AND(ISNUMBER(J14),ISNUMBER(H16)),IF(J14&gt;H16,3,IF(J14=H16,1,0)),0)</f>
        <v>0</v>
      </c>
      <c r="R14" s="41">
        <f>IF(AND(ISNUMBER(K14),ISNUMBER(H17)),IF(K14&gt;H17,3,IF(K14=H17,1,0)),0)</f>
        <v>0</v>
      </c>
      <c r="S14" s="13"/>
      <c r="T14" s="9"/>
      <c r="U14" s="3">
        <v>1</v>
      </c>
      <c r="V14" s="42" t="str">
        <f>Text!B11</f>
        <v>Österreich</v>
      </c>
      <c r="W14" s="43">
        <f>IF(COUNT(H14:K14)=COUNT(H14:H17),COUNT(H14:H17),"")</f>
        <v>0</v>
      </c>
      <c r="X14" s="40">
        <f>SUM(O14:R14)</f>
        <v>0</v>
      </c>
      <c r="Y14" s="40">
        <f>SUM(H14:K14)</f>
        <v>0</v>
      </c>
      <c r="Z14" s="40">
        <f>SUM(H14:H17)</f>
        <v>0</v>
      </c>
      <c r="AA14" s="41">
        <f>Y14-Z14</f>
        <v>0</v>
      </c>
      <c r="AB14" s="13"/>
      <c r="AC14" s="9"/>
      <c r="AD14" s="44">
        <f>BB14</f>
        <v>1</v>
      </c>
      <c r="AE14" s="13"/>
      <c r="AF14" s="9"/>
      <c r="AG14" s="42">
        <f>X14*10000+AA14*100+Y14</f>
        <v>0</v>
      </c>
      <c r="AH14" s="42">
        <f>COUNTIF(AG14:AG17,AG14)</f>
        <v>4</v>
      </c>
      <c r="AI14" s="42">
        <f>IF(AH14=1,"x","")</f>
      </c>
      <c r="AJ14" s="13"/>
      <c r="AK14" s="9"/>
      <c r="AL14" s="45">
        <f>IF(AI14="x",1,IF(AG15=AG14,2,IF(AG16=AG14,3,4)))</f>
        <v>2</v>
      </c>
      <c r="AM14" s="42">
        <f>INDEX(O14:R14,1,AL14)</f>
        <v>0</v>
      </c>
      <c r="AN14" s="46">
        <f>IF(OR(AH18=2,AH18=4),AM14/10,0)</f>
        <v>0</v>
      </c>
      <c r="AO14" s="13"/>
      <c r="AP14" s="9"/>
      <c r="AQ14" s="9"/>
      <c r="AR14" s="43" t="e">
        <f>X14-INDEX(O14:R14,1,AQ13)</f>
        <v>#N/A</v>
      </c>
      <c r="AS14" s="42" t="e">
        <f>AA14-(INDEX(H14:K14,1,AQ13)-INDEX(H14:H17,AQ13,1))</f>
        <v>#N/A</v>
      </c>
      <c r="AT14" s="43" t="e">
        <f>Y14-INDEX(H14:K14,1,AQ13)</f>
        <v>#N/A</v>
      </c>
      <c r="AU14" s="46">
        <f>IF(OR(AH18&lt;&gt;3,AI14="x"),0,AR14/10+AS14/1000+AT14/100000)</f>
        <v>0</v>
      </c>
      <c r="AV14" s="13"/>
      <c r="AW14" s="9"/>
      <c r="AX14" s="46">
        <f>AG14+AN14+AU14</f>
        <v>0</v>
      </c>
      <c r="AY14" s="43">
        <f>IF(INDEX(AX14:AX17,U14)&gt;=INDEX(AX14:AX17,U15),U14,U15)</f>
        <v>1</v>
      </c>
      <c r="AZ14" s="40">
        <f>IF(INDEX(AX14:AX17,AY14)&gt;=INDEX(AX14:AX17,AY16),AY14,AY16)</f>
        <v>1</v>
      </c>
      <c r="BA14" s="41">
        <f>IF(INDEX(AX14:AX17,AZ14)&gt;=INDEX(AX14:AX17,AZ17),AZ14,AZ17)</f>
        <v>1</v>
      </c>
      <c r="BB14" s="44">
        <f>MATCH(U14,BA14:BA17,0)</f>
        <v>1</v>
      </c>
      <c r="BC14" s="43">
        <f>COUNTIF(AX14:AX17,AX14)</f>
        <v>4</v>
      </c>
      <c r="BD14" s="41">
        <f>IF(BC14=1,"x","")</f>
      </c>
      <c r="BE14" s="42">
        <f>(BD14="x")*BB14</f>
        <v>0</v>
      </c>
      <c r="BF14" s="14"/>
      <c r="BG14" s="14"/>
    </row>
    <row r="15" spans="1:59" s="3" customFormat="1" ht="10.5" outlineLevel="1">
      <c r="A15" s="36" t="str">
        <f>Vorrunde!E16</f>
        <v>Kroatien</v>
      </c>
      <c r="B15" s="9">
        <f>IF(ISNUMBER(Vorrunde!H16),Vorrunde!H16,"")</f>
      </c>
      <c r="C15" s="9">
        <f>IF(ISNUMBER(Vorrunde!J16),Vorrunde!J16,"")</f>
      </c>
      <c r="D15" s="37" t="str">
        <f>Vorrunde!G16</f>
        <v>Deutschland</v>
      </c>
      <c r="E15" s="13"/>
      <c r="F15" s="9"/>
      <c r="G15" s="47" t="str">
        <f>Text!A12</f>
        <v>CRO</v>
      </c>
      <c r="H15" s="48">
        <f>C13</f>
      </c>
      <c r="I15" s="49"/>
      <c r="J15" s="14">
        <f>B15</f>
      </c>
      <c r="K15" s="50">
        <f>C17</f>
      </c>
      <c r="L15" s="13"/>
      <c r="M15" s="9"/>
      <c r="N15" s="47" t="str">
        <f>Text!A12</f>
        <v>CRO</v>
      </c>
      <c r="O15" s="48">
        <f>IF(AND(ISNUMBER(H15),ISNUMBER(I14)),IF(H15&gt;I14,3,IF(H15=I14,1,0)),0)</f>
        <v>0</v>
      </c>
      <c r="P15" s="49"/>
      <c r="Q15" s="14">
        <f>IF(AND(ISNUMBER(J15),ISNUMBER(I16)),IF(J15&gt;I16,3,IF(J15=I16,1,0)),0)</f>
        <v>0</v>
      </c>
      <c r="R15" s="50">
        <f>IF(AND(ISNUMBER(K15),ISNUMBER(I17)),IF(K15&gt;I17,3,IF(K15=I17,1,0)),0)</f>
        <v>0</v>
      </c>
      <c r="S15" s="13"/>
      <c r="T15" s="9"/>
      <c r="U15" s="3">
        <v>2</v>
      </c>
      <c r="V15" s="51" t="str">
        <f>Text!B12</f>
        <v>Kroatien</v>
      </c>
      <c r="W15" s="48">
        <f>IF(COUNT(H15:K15)=COUNT(I14:I17),COUNT(I14:I17),"")</f>
        <v>0</v>
      </c>
      <c r="X15" s="14">
        <f>SUM(O15:R15)</f>
        <v>0</v>
      </c>
      <c r="Y15" s="14">
        <f>SUM(H15:K15)</f>
        <v>0</v>
      </c>
      <c r="Z15" s="14">
        <f>SUM(I14:I17)</f>
        <v>0</v>
      </c>
      <c r="AA15" s="50">
        <f>Y15-Z15</f>
        <v>0</v>
      </c>
      <c r="AB15" s="13"/>
      <c r="AC15" s="9"/>
      <c r="AD15" s="52">
        <f>BB15</f>
        <v>2</v>
      </c>
      <c r="AE15" s="13"/>
      <c r="AF15" s="9"/>
      <c r="AG15" s="51">
        <f>X15*10000+AA15*100+Y15</f>
        <v>0</v>
      </c>
      <c r="AH15" s="51">
        <f>COUNTIF(AG14:AG17,AG15)</f>
        <v>4</v>
      </c>
      <c r="AI15" s="51">
        <f>IF(AH15=1,"x","")</f>
      </c>
      <c r="AJ15" s="13"/>
      <c r="AK15" s="9"/>
      <c r="AL15" s="53">
        <f>IF(AI15="x",2,IF(AG16=AG15,3,IF(AG17=AG15,4,1)))</f>
        <v>3</v>
      </c>
      <c r="AM15" s="51">
        <f>INDEX(O15:R15,1,AL15)</f>
        <v>0</v>
      </c>
      <c r="AN15" s="54">
        <f>IF(OR(AH18=2,AH18=4),AM15/10,0)</f>
        <v>0</v>
      </c>
      <c r="AO15" s="13"/>
      <c r="AP15" s="9"/>
      <c r="AQ15" s="9"/>
      <c r="AR15" s="48" t="e">
        <f>X15-INDEX(O15:R15,1,AQ13)</f>
        <v>#N/A</v>
      </c>
      <c r="AS15" s="51" t="e">
        <f>AA15-(INDEX(H15:K15,1,AQ13)-INDEX(I14:I17,AQ13))</f>
        <v>#N/A</v>
      </c>
      <c r="AT15" s="48" t="e">
        <f>Y15-INDEX(H15:K15,1,AQ13)</f>
        <v>#N/A</v>
      </c>
      <c r="AU15" s="54">
        <f>IF(OR(AH18&lt;&gt;3,AI15="x"),0,AR15/10+AS15/1000+AT15/100000)</f>
        <v>0</v>
      </c>
      <c r="AV15" s="13"/>
      <c r="AW15" s="9"/>
      <c r="AX15" s="54">
        <f>AG15+AN15+AU15</f>
        <v>0</v>
      </c>
      <c r="AY15" s="48">
        <f>IF(INDEX(AX14:AX17,U15)&lt;=INDEX(AX14:AX17,U14),U15,U14)</f>
        <v>2</v>
      </c>
      <c r="AZ15" s="14">
        <f>IF(INDEX(AX14:AX17,AY15)&gt;=INDEX(AX14:AX17,AY17),AY15,AY17)</f>
        <v>2</v>
      </c>
      <c r="BA15" s="50">
        <f>IF(INDEX(AX14:AX17,AZ15)&gt;=INDEX(AX14:AX17,AZ16),AZ15,AZ16)</f>
        <v>2</v>
      </c>
      <c r="BB15" s="52">
        <f>MATCH(U15,BA14:BA17,0)</f>
        <v>2</v>
      </c>
      <c r="BC15" s="48">
        <f>COUNTIF(AX14:AX17,AX15)</f>
        <v>4</v>
      </c>
      <c r="BD15" s="50">
        <f>IF(BC15=1,"x","")</f>
      </c>
      <c r="BE15" s="51">
        <f>(BD15="x")*BB15</f>
        <v>0</v>
      </c>
      <c r="BF15" s="14"/>
      <c r="BG15" s="14"/>
    </row>
    <row r="16" spans="1:59" s="3" customFormat="1" ht="10.5" outlineLevel="1">
      <c r="A16" s="36" t="str">
        <f>Vorrunde!E17</f>
        <v>Österreich</v>
      </c>
      <c r="B16" s="9">
        <f>IF(ISNUMBER(Vorrunde!H17),Vorrunde!H17,"")</f>
      </c>
      <c r="C16" s="9">
        <f>IF(ISNUMBER(Vorrunde!J17),Vorrunde!J17,"")</f>
      </c>
      <c r="D16" s="37" t="str">
        <f>Vorrunde!G17</f>
        <v>Polen</v>
      </c>
      <c r="E16" s="13"/>
      <c r="F16" s="9"/>
      <c r="G16" s="47" t="str">
        <f>Text!A13</f>
        <v>GER</v>
      </c>
      <c r="H16" s="48">
        <f>C18</f>
      </c>
      <c r="I16" s="14">
        <f>C15</f>
      </c>
      <c r="J16" s="49"/>
      <c r="K16" s="50">
        <f>B14</f>
      </c>
      <c r="L16" s="13"/>
      <c r="M16" s="9"/>
      <c r="N16" s="47" t="str">
        <f>Text!A13</f>
        <v>GER</v>
      </c>
      <c r="O16" s="48">
        <f>IF(AND(ISNUMBER(H16),ISNUMBER(J14)),IF(H16&gt;J14,3,IF(H16=J14,1,0)),0)</f>
        <v>0</v>
      </c>
      <c r="P16" s="14">
        <f>IF(AND(ISNUMBER(I16),ISNUMBER(J15)),IF(I16&gt;J15,3,IF(I16=J15,1,0)),0)</f>
        <v>0</v>
      </c>
      <c r="Q16" s="49"/>
      <c r="R16" s="50">
        <f>IF(AND(ISNUMBER(K16),ISNUMBER(J17)),IF(K16&gt;J17,3,IF(K16=J17,1,0)),0)</f>
        <v>0</v>
      </c>
      <c r="S16" s="13"/>
      <c r="T16" s="9"/>
      <c r="U16" s="3">
        <v>3</v>
      </c>
      <c r="V16" s="51" t="str">
        <f>Text!B13</f>
        <v>Deutschland</v>
      </c>
      <c r="W16" s="48">
        <f>IF(COUNT(H16:K16)=COUNT(J14:J17),COUNT(J14:J17),"")</f>
        <v>0</v>
      </c>
      <c r="X16" s="14">
        <f>SUM(O16:R16)</f>
        <v>0</v>
      </c>
      <c r="Y16" s="14">
        <f>SUM(H16:K16)</f>
        <v>0</v>
      </c>
      <c r="Z16" s="14">
        <f>SUM(J14:J17)</f>
        <v>0</v>
      </c>
      <c r="AA16" s="50">
        <f>Y16-Z16</f>
        <v>0</v>
      </c>
      <c r="AB16" s="13"/>
      <c r="AC16" s="9"/>
      <c r="AD16" s="52">
        <f>BB16</f>
        <v>3</v>
      </c>
      <c r="AE16" s="13"/>
      <c r="AF16" s="9"/>
      <c r="AG16" s="51">
        <f>X16*10000+AA16*100+Y16</f>
        <v>0</v>
      </c>
      <c r="AH16" s="51">
        <f>COUNTIF(AG14:AG17,AG16)</f>
        <v>4</v>
      </c>
      <c r="AI16" s="51">
        <f>IF(AH16=1,"x","")</f>
      </c>
      <c r="AJ16" s="13"/>
      <c r="AK16" s="9"/>
      <c r="AL16" s="53">
        <f>IF(AI16="x",3,IF(AG17=AG16,4,IF(AG15=AG16,2,1)))</f>
        <v>4</v>
      </c>
      <c r="AM16" s="51">
        <f>INDEX(O16:R16,1,AL16)</f>
        <v>0</v>
      </c>
      <c r="AN16" s="54">
        <f>IF(OR(AH18=2,AH18=4),AM16/10,0)</f>
        <v>0</v>
      </c>
      <c r="AO16" s="13"/>
      <c r="AP16" s="9"/>
      <c r="AQ16" s="9"/>
      <c r="AR16" s="48" t="e">
        <f>X16-INDEX(O16:R16,1,AQ13)</f>
        <v>#N/A</v>
      </c>
      <c r="AS16" s="51" t="e">
        <f>AA16-(INDEX(H16:K16,1,AQ13)-INDEX(J14:J17,AQ13))</f>
        <v>#N/A</v>
      </c>
      <c r="AT16" s="48" t="e">
        <f>Y16-INDEX(H16:K16,1,AQ13)</f>
        <v>#N/A</v>
      </c>
      <c r="AU16" s="54">
        <f>IF(OR(AH18&lt;&gt;3,AI16="x"),0,AR16/10+AS16/1000+AT16/100000)</f>
        <v>0</v>
      </c>
      <c r="AV16" s="13"/>
      <c r="AW16" s="9"/>
      <c r="AX16" s="54">
        <f>AG16+AN16+AU16</f>
        <v>0</v>
      </c>
      <c r="AY16" s="48">
        <f>IF(INDEX(AX14:AX17,U16)&gt;=INDEX(AX14:AX17,U17),U16,U17)</f>
        <v>3</v>
      </c>
      <c r="AZ16" s="14">
        <f>IF(INDEX(AX14:AX17,AY16)&lt;=INDEX(AX14:AX17,AY14),AY16,AY14)</f>
        <v>3</v>
      </c>
      <c r="BA16" s="50">
        <f>IF(INDEX(AX14:AX17,AZ16)&lt;=INDEX(AX14:AX17,AZ15),AZ16,AZ15)</f>
        <v>3</v>
      </c>
      <c r="BB16" s="52">
        <f>MATCH(U16,BA14:BA17,0)</f>
        <v>3</v>
      </c>
      <c r="BC16" s="48">
        <f>COUNTIF(AX14:AX17,AX16)</f>
        <v>4</v>
      </c>
      <c r="BD16" s="50">
        <f>IF(BC16=1,"x","")</f>
      </c>
      <c r="BE16" s="51">
        <f>(BD16="x")*BB16</f>
        <v>0</v>
      </c>
      <c r="BF16" s="14"/>
      <c r="BG16" s="14"/>
    </row>
    <row r="17" spans="1:59" s="3" customFormat="1" ht="10.5" outlineLevel="1">
      <c r="A17" s="36" t="str">
        <f>Vorrunde!E18</f>
        <v>Polen</v>
      </c>
      <c r="B17" s="9">
        <f>IF(ISNUMBER(Vorrunde!H18),Vorrunde!H18,"")</f>
      </c>
      <c r="C17" s="9">
        <f>IF(ISNUMBER(Vorrunde!J18),Vorrunde!J18,"")</f>
      </c>
      <c r="D17" s="37" t="str">
        <f>Vorrunde!G18</f>
        <v>Kroatien</v>
      </c>
      <c r="E17" s="55"/>
      <c r="F17" s="14"/>
      <c r="G17" s="56" t="str">
        <f>Text!A14</f>
        <v>POL</v>
      </c>
      <c r="H17" s="57">
        <f>C16</f>
      </c>
      <c r="I17" s="58">
        <f>B17</f>
      </c>
      <c r="J17" s="58">
        <f>C14</f>
      </c>
      <c r="K17" s="59"/>
      <c r="L17" s="55"/>
      <c r="M17" s="14"/>
      <c r="N17" s="56" t="str">
        <f>Text!A14</f>
        <v>POL</v>
      </c>
      <c r="O17" s="57">
        <f>IF(AND(ISNUMBER(H17),ISNUMBER(K14)),IF(H17&gt;K14,3,IF(H17=K14,1,0)),0)</f>
        <v>0</v>
      </c>
      <c r="P17" s="58">
        <f>IF(AND(ISNUMBER(I17),ISNUMBER(K15)),IF(I17&gt;K15,3,IF(I17=K15,1,0)),0)</f>
        <v>0</v>
      </c>
      <c r="Q17" s="58">
        <f>IF(AND(ISNUMBER(J17),ISNUMBER(K16)),IF(J17&gt;K16,3,IF(J17=K16,1,0)),0)</f>
        <v>0</v>
      </c>
      <c r="R17" s="59"/>
      <c r="S17" s="55"/>
      <c r="T17" s="14"/>
      <c r="U17" s="3">
        <v>4</v>
      </c>
      <c r="V17" s="60" t="str">
        <f>Text!B14</f>
        <v>Polen</v>
      </c>
      <c r="W17" s="57">
        <f>IF(COUNT(H17:K17)=COUNT(K14:K17),COUNT(K14:K17),"")</f>
        <v>0</v>
      </c>
      <c r="X17" s="58">
        <f>SUM(O17:R17)</f>
        <v>0</v>
      </c>
      <c r="Y17" s="58">
        <f>SUM(H17:K17)</f>
        <v>0</v>
      </c>
      <c r="Z17" s="58">
        <f>SUM(K14:K17)</f>
        <v>0</v>
      </c>
      <c r="AA17" s="61">
        <f>Y17-Z17</f>
        <v>0</v>
      </c>
      <c r="AB17" s="55"/>
      <c r="AC17" s="14"/>
      <c r="AD17" s="62">
        <f>BB17</f>
        <v>4</v>
      </c>
      <c r="AE17" s="55"/>
      <c r="AF17" s="14"/>
      <c r="AG17" s="60">
        <f>X17*10000+AA17*100+Y17</f>
        <v>0</v>
      </c>
      <c r="AH17" s="60">
        <f>COUNTIF(AG14:AG17,AG17)</f>
        <v>4</v>
      </c>
      <c r="AI17" s="60">
        <f>IF(AH17=1,"x","")</f>
      </c>
      <c r="AJ17" s="55"/>
      <c r="AK17" s="14"/>
      <c r="AL17" s="63">
        <f>IF(AI17="x",4,IF(AG14=AG17,1,IF(AG15=AG17,2,3)))</f>
        <v>1</v>
      </c>
      <c r="AM17" s="60">
        <f>INDEX(O17:R17,1,AL17)</f>
        <v>0</v>
      </c>
      <c r="AN17" s="64">
        <f>IF(OR(AH18=2,AH18=4),AM17/10,0)</f>
        <v>0</v>
      </c>
      <c r="AO17" s="55"/>
      <c r="AP17" s="14"/>
      <c r="AQ17" s="14"/>
      <c r="AR17" s="57" t="e">
        <f>X17-INDEX(O17:R17,1,AQ13)</f>
        <v>#N/A</v>
      </c>
      <c r="AS17" s="60" t="e">
        <f>AA17-(INDEX(H17:K17,1,AQ13)-INDEX(K14:K17,AQ13))</f>
        <v>#N/A</v>
      </c>
      <c r="AT17" s="57" t="e">
        <f>Y17-INDEX(H17:K17,1,AQ13)</f>
        <v>#N/A</v>
      </c>
      <c r="AU17" s="64">
        <f>IF(OR(AH18&lt;&gt;3,AI17="x"),0,AR17/10+AS17/1000+AT17/100000)</f>
        <v>0</v>
      </c>
      <c r="AV17" s="55"/>
      <c r="AW17" s="14"/>
      <c r="AX17" s="64">
        <f>AG17+AN17+AU17</f>
        <v>0</v>
      </c>
      <c r="AY17" s="57">
        <f>IF(INDEX(AX14:AX17,U17)&lt;=INDEX(AX14:AX17,U16),U17,U16)</f>
        <v>4</v>
      </c>
      <c r="AZ17" s="58">
        <f>IF(INDEX(AX14:AX17,AY17)&lt;=INDEX(AX14:AX17,AY15),AY17,AY15)</f>
        <v>4</v>
      </c>
      <c r="BA17" s="61">
        <f>IF(INDEX(AX14:AX17,AZ17)&lt;=INDEX(AX14:AX17,AZ14),AZ17,AZ14)</f>
        <v>4</v>
      </c>
      <c r="BB17" s="62">
        <f>MATCH(U17,BA14:BA17,0)</f>
        <v>4</v>
      </c>
      <c r="BC17" s="57">
        <f>COUNTIF(AX14:AX17,AX17)</f>
        <v>4</v>
      </c>
      <c r="BD17" s="61">
        <f>IF(BC17=1,"x","")</f>
      </c>
      <c r="BE17" s="51">
        <f>(BD17="x")*BB17</f>
        <v>0</v>
      </c>
      <c r="BF17" s="14"/>
      <c r="BG17" s="14"/>
    </row>
    <row r="18" spans="1:59" s="3" customFormat="1" ht="10.5">
      <c r="A18" s="65" t="str">
        <f>Vorrunde!E19</f>
        <v>Österreich</v>
      </c>
      <c r="B18" s="66">
        <f>IF(ISNUMBER(Vorrunde!H19),Vorrunde!H19,"")</f>
      </c>
      <c r="C18" s="66">
        <f>IF(ISNUMBER(Vorrunde!J19),Vorrunde!J19,"")</f>
      </c>
      <c r="D18" s="67" t="str">
        <f>Vorrunde!G19</f>
        <v>Deutschland</v>
      </c>
      <c r="E18" s="13"/>
      <c r="F18" s="9"/>
      <c r="G18" s="4"/>
      <c r="H18" s="4"/>
      <c r="I18" s="4"/>
      <c r="J18" s="4"/>
      <c r="K18" s="9"/>
      <c r="L18" s="13"/>
      <c r="M18" s="9"/>
      <c r="N18" s="4"/>
      <c r="R18" s="14"/>
      <c r="S18" s="13"/>
      <c r="T18" s="9"/>
      <c r="V18" s="5" t="s">
        <v>54</v>
      </c>
      <c r="W18" s="3" t="b">
        <f>SUM(W14:W17)=12</f>
        <v>0</v>
      </c>
      <c r="AB18" s="13"/>
      <c r="AC18" s="9"/>
      <c r="AD18" s="62">
        <f>BF18</f>
      </c>
      <c r="AE18" s="13"/>
      <c r="AF18" s="9"/>
      <c r="AG18" s="68" t="s">
        <v>67</v>
      </c>
      <c r="AH18" s="69">
        <f>MOD(MIN(AH14:AH17)*MAX(AH14:AH17),11)</f>
        <v>5</v>
      </c>
      <c r="AJ18" s="13"/>
      <c r="AK18" s="9"/>
      <c r="AL18" s="9"/>
      <c r="AM18" s="14"/>
      <c r="AN18" s="14"/>
      <c r="AO18" s="13"/>
      <c r="AP18" s="9"/>
      <c r="AQ18" s="9"/>
      <c r="AV18" s="13"/>
      <c r="AW18" s="9"/>
      <c r="BD18" s="70">
        <f>COUNTIF(BD14:BD17,"x")</f>
        <v>0</v>
      </c>
      <c r="BE18" s="69">
        <f>SUM(BE14:BE17)</f>
        <v>0</v>
      </c>
      <c r="BF18" s="69">
        <f>IF(W18,IF(BD18&gt;=3,Text!B$40,IF(AND(BD18=2,BE18=3),Text!B$41,Text!B$42)),"")</f>
      </c>
      <c r="BG18" s="14"/>
    </row>
    <row r="19" spans="1:107" ht="10.5">
      <c r="A19" s="8"/>
      <c r="E19" s="13"/>
      <c r="L19" s="13"/>
      <c r="S19" s="13"/>
      <c r="AB19" s="13"/>
      <c r="AE19" s="13"/>
      <c r="AG19" s="16"/>
      <c r="AH19" s="16"/>
      <c r="AJ19" s="13"/>
      <c r="AK19" s="9"/>
      <c r="AL19" s="16"/>
      <c r="AM19" s="16"/>
      <c r="AN19" s="16"/>
      <c r="AO19" s="13"/>
      <c r="AP19" s="9"/>
      <c r="AQ19" s="16"/>
      <c r="AR19" s="170"/>
      <c r="AS19" s="170"/>
      <c r="AT19" s="170"/>
      <c r="AU19" s="16"/>
      <c r="AV19" s="13"/>
      <c r="AW19" s="9"/>
      <c r="AX19" s="14"/>
      <c r="AY19" s="169"/>
      <c r="AZ19" s="169"/>
      <c r="BA19" s="169"/>
      <c r="BB19" s="71"/>
      <c r="BC19" s="170"/>
      <c r="BD19" s="170"/>
      <c r="BE19" s="170"/>
      <c r="BZ19" s="14"/>
      <c r="CA19" s="14"/>
      <c r="CK19" s="14"/>
      <c r="CL19" s="14"/>
      <c r="CO19" s="14"/>
      <c r="CP19" s="14"/>
      <c r="CQ19" s="14"/>
      <c r="CR19" s="14"/>
      <c r="CS19" s="14"/>
      <c r="CW19" s="14"/>
      <c r="CX19" s="14"/>
      <c r="CY19" s="14"/>
      <c r="CZ19" s="14"/>
      <c r="DA19" s="14"/>
      <c r="DB19" s="14"/>
      <c r="DC19" s="14"/>
    </row>
    <row r="20" spans="1:107" ht="10.5">
      <c r="A20" s="8" t="str">
        <f>Text!B18</f>
        <v>GRUPPE C</v>
      </c>
      <c r="E20" s="13"/>
      <c r="L20" s="13"/>
      <c r="S20" s="13"/>
      <c r="AB20" s="13"/>
      <c r="AE20" s="13"/>
      <c r="AG20" s="16"/>
      <c r="AH20" s="16"/>
      <c r="AJ20" s="13"/>
      <c r="AK20" s="9"/>
      <c r="AL20" s="16"/>
      <c r="AM20" s="16"/>
      <c r="AN20" s="16"/>
      <c r="AO20" s="13"/>
      <c r="AP20" s="9"/>
      <c r="AQ20" s="16"/>
      <c r="AR20" s="170"/>
      <c r="AS20" s="170"/>
      <c r="AT20" s="170"/>
      <c r="AU20" s="16"/>
      <c r="AV20" s="13"/>
      <c r="AW20" s="9"/>
      <c r="AX20" s="14"/>
      <c r="AY20" s="169"/>
      <c r="AZ20" s="169"/>
      <c r="BA20" s="169"/>
      <c r="BB20" s="71"/>
      <c r="BC20" s="170"/>
      <c r="BD20" s="170"/>
      <c r="BE20" s="170"/>
      <c r="BZ20" s="14"/>
      <c r="CA20" s="14"/>
      <c r="CK20" s="14"/>
      <c r="CL20" s="14"/>
      <c r="CO20" s="14"/>
      <c r="CP20" s="14"/>
      <c r="CQ20" s="14"/>
      <c r="CR20" s="14"/>
      <c r="CS20" s="14"/>
      <c r="CW20" s="14"/>
      <c r="CX20" s="14"/>
      <c r="CY20" s="14"/>
      <c r="CZ20" s="14"/>
      <c r="DA20" s="14"/>
      <c r="DB20" s="14"/>
      <c r="DC20" s="14"/>
    </row>
    <row r="21" spans="1:50" s="3" customFormat="1" ht="22.5">
      <c r="A21" s="23" t="str">
        <f>Vorrunde!E22</f>
        <v>Rumänien</v>
      </c>
      <c r="B21" s="24">
        <f>IF(ISNUMBER(Vorrunde!H22),Vorrunde!H22,"")</f>
      </c>
      <c r="C21" s="24">
        <f>IF(ISNUMBER(Vorrunde!J22),Vorrunde!J22,"")</f>
      </c>
      <c r="D21" s="25" t="str">
        <f>Vorrunde!G22</f>
        <v>Frankreich</v>
      </c>
      <c r="E21" s="26"/>
      <c r="F21" s="27"/>
      <c r="G21" s="28">
        <f>SUM(H22:K25)</f>
        <v>0</v>
      </c>
      <c r="H21" s="29" t="str">
        <f>Text!A19</f>
        <v>NED</v>
      </c>
      <c r="I21" s="30" t="str">
        <f>Text!A20</f>
        <v>ITA</v>
      </c>
      <c r="J21" s="30" t="str">
        <f>Text!A21</f>
        <v>ROM</v>
      </c>
      <c r="K21" s="31" t="str">
        <f>Text!A22</f>
        <v>Frau</v>
      </c>
      <c r="L21" s="26"/>
      <c r="M21" s="27"/>
      <c r="N21" s="28">
        <f>SUM(O22:R25)</f>
        <v>0</v>
      </c>
      <c r="O21" s="29" t="str">
        <f>Text!A19</f>
        <v>NED</v>
      </c>
      <c r="P21" s="30" t="str">
        <f>Text!A20</f>
        <v>ITA</v>
      </c>
      <c r="Q21" s="30" t="str">
        <f>Text!A21</f>
        <v>ROM</v>
      </c>
      <c r="R21" s="31" t="str">
        <f>Text!A22</f>
        <v>Frau</v>
      </c>
      <c r="S21" s="26"/>
      <c r="T21" s="27"/>
      <c r="W21" s="32" t="str">
        <f>Text!A$33</f>
        <v>Sp.</v>
      </c>
      <c r="X21" s="33" t="str">
        <f>Text!A$34</f>
        <v>Pkte.</v>
      </c>
      <c r="Y21" s="33" t="str">
        <f>Text!A$35</f>
        <v>T</v>
      </c>
      <c r="Z21" s="33" t="str">
        <f>Text!A$36</f>
        <v>GT</v>
      </c>
      <c r="AA21" s="34" t="str">
        <f>Text!A$37</f>
        <v>Diff.</v>
      </c>
      <c r="AB21" s="26"/>
      <c r="AC21" s="27"/>
      <c r="AD21" s="4"/>
      <c r="AE21" s="26"/>
      <c r="AF21" s="27"/>
      <c r="AJ21" s="26"/>
      <c r="AK21" s="27"/>
      <c r="AL21" s="27"/>
      <c r="AM21" s="14"/>
      <c r="AN21" s="14"/>
      <c r="AO21" s="26"/>
      <c r="AP21" s="27"/>
      <c r="AQ21" s="35" t="e">
        <f>MATCH(1,AH22:AH25,0)</f>
        <v>#N/A</v>
      </c>
      <c r="AV21" s="26"/>
      <c r="AW21" s="27"/>
      <c r="AX21" s="15"/>
    </row>
    <row r="22" spans="1:59" s="3" customFormat="1" ht="10.5" outlineLevel="1">
      <c r="A22" s="36" t="str">
        <f>Vorrunde!E23</f>
        <v>Niederlande</v>
      </c>
      <c r="B22" s="9">
        <f>IF(ISNUMBER(Vorrunde!H23),Vorrunde!H23,"")</f>
      </c>
      <c r="C22" s="9">
        <f>IF(ISNUMBER(Vorrunde!J23),Vorrunde!J23,"")</f>
      </c>
      <c r="D22" s="37" t="str">
        <f>Vorrunde!G23</f>
        <v>Italien</v>
      </c>
      <c r="E22" s="13"/>
      <c r="F22" s="9"/>
      <c r="G22" s="38" t="str">
        <f>Text!A19</f>
        <v>NED</v>
      </c>
      <c r="H22" s="39"/>
      <c r="I22" s="40">
        <f>B22</f>
      </c>
      <c r="J22" s="40">
        <f>B25</f>
      </c>
      <c r="K22" s="41">
        <f>B24</f>
      </c>
      <c r="L22" s="13"/>
      <c r="M22" s="9"/>
      <c r="N22" s="38" t="str">
        <f>Text!A19</f>
        <v>NED</v>
      </c>
      <c r="O22" s="39"/>
      <c r="P22" s="40">
        <f>IF(AND(ISNUMBER(I22),ISNUMBER(H23)),IF(I22&gt;H23,3,IF(I22=H23,1,0)),0)</f>
        <v>0</v>
      </c>
      <c r="Q22" s="40">
        <f>IF(AND(ISNUMBER(J22),ISNUMBER(H24)),IF(J22&gt;H24,3,IF(J22=H24,1,0)),0)</f>
        <v>0</v>
      </c>
      <c r="R22" s="41">
        <f>IF(AND(ISNUMBER(K22),ISNUMBER(H25)),IF(K22&gt;H25,3,IF(K22=H25,1,0)),0)</f>
        <v>0</v>
      </c>
      <c r="S22" s="13"/>
      <c r="T22" s="9"/>
      <c r="U22" s="3">
        <v>1</v>
      </c>
      <c r="V22" s="42" t="str">
        <f>Text!B19</f>
        <v>Niederlande</v>
      </c>
      <c r="W22" s="43">
        <f>IF(COUNT(H22:K22)=COUNT(H22:H25),COUNT(H22:H25),"")</f>
        <v>0</v>
      </c>
      <c r="X22" s="40">
        <f>SUM(O22:R22)</f>
        <v>0</v>
      </c>
      <c r="Y22" s="40">
        <f>SUM(H22:K22)</f>
        <v>0</v>
      </c>
      <c r="Z22" s="40">
        <f>SUM(H22:H25)</f>
        <v>0</v>
      </c>
      <c r="AA22" s="41">
        <f>Y22-Z22</f>
        <v>0</v>
      </c>
      <c r="AB22" s="13"/>
      <c r="AC22" s="9"/>
      <c r="AD22" s="44">
        <f>BB22</f>
        <v>1</v>
      </c>
      <c r="AE22" s="13"/>
      <c r="AF22" s="9"/>
      <c r="AG22" s="42">
        <f>X22*10000+AA22*100+Y22</f>
        <v>0</v>
      </c>
      <c r="AH22" s="42">
        <f>COUNTIF(AG22:AG25,AG22)</f>
        <v>4</v>
      </c>
      <c r="AI22" s="42">
        <f>IF(AH22=1,"x","")</f>
      </c>
      <c r="AJ22" s="13"/>
      <c r="AK22" s="9"/>
      <c r="AL22" s="45">
        <f>IF(AI22="x",1,IF(AG23=AG22,2,IF(AG24=AG22,3,4)))</f>
        <v>2</v>
      </c>
      <c r="AM22" s="42">
        <f>INDEX(O22:R22,1,AL22)</f>
        <v>0</v>
      </c>
      <c r="AN22" s="46">
        <f>IF(OR(AH26=2,AH26=4),AM22/10,0)</f>
        <v>0</v>
      </c>
      <c r="AO22" s="13"/>
      <c r="AP22" s="9"/>
      <c r="AQ22" s="9"/>
      <c r="AR22" s="43" t="e">
        <f>X22-INDEX(O22:R22,1,AQ21)</f>
        <v>#N/A</v>
      </c>
      <c r="AS22" s="42" t="e">
        <f>AA22-(INDEX(H22:K22,1,AQ21)-INDEX(H22:H25,AQ21,1))</f>
        <v>#N/A</v>
      </c>
      <c r="AT22" s="43" t="e">
        <f>Y22-INDEX(H22:K22,1,AQ21)</f>
        <v>#N/A</v>
      </c>
      <c r="AU22" s="46">
        <f>IF(OR(AH26&lt;&gt;3,AI22="x"),0,AR22/10+AS22/1000+AT22/100000)</f>
        <v>0</v>
      </c>
      <c r="AV22" s="13"/>
      <c r="AW22" s="9"/>
      <c r="AX22" s="46">
        <f>AG22+AN22+AU22</f>
        <v>0</v>
      </c>
      <c r="AY22" s="43">
        <f>IF(INDEX(AX22:AX25,U22)&gt;=INDEX(AX22:AX25,U23),U22,U23)</f>
        <v>1</v>
      </c>
      <c r="AZ22" s="40">
        <f>IF(INDEX(AX22:AX25,AY22)&gt;=INDEX(AX22:AX25,AY24),AY22,AY24)</f>
        <v>1</v>
      </c>
      <c r="BA22" s="41">
        <f>IF(INDEX(AX22:AX25,AZ22)&gt;=INDEX(AX22:AX25,AZ25),AZ22,AZ25)</f>
        <v>1</v>
      </c>
      <c r="BB22" s="44">
        <f>MATCH(U22,BA22:BA25,0)</f>
        <v>1</v>
      </c>
      <c r="BC22" s="43">
        <f>COUNTIF(AX22:AX25,AX22)</f>
        <v>4</v>
      </c>
      <c r="BD22" s="41">
        <f>IF(BC22=1,"x","")</f>
      </c>
      <c r="BE22" s="42">
        <f>(BD22="x")*BB22</f>
        <v>0</v>
      </c>
      <c r="BF22" s="14"/>
      <c r="BG22" s="14"/>
    </row>
    <row r="23" spans="1:59" s="3" customFormat="1" ht="10.5" outlineLevel="1">
      <c r="A23" s="36" t="str">
        <f>Vorrunde!E24</f>
        <v>Italien</v>
      </c>
      <c r="B23" s="9">
        <f>IF(ISNUMBER(Vorrunde!H24),Vorrunde!H24,"")</f>
      </c>
      <c r="C23" s="9">
        <f>IF(ISNUMBER(Vorrunde!J24),Vorrunde!J24,"")</f>
      </c>
      <c r="D23" s="37" t="str">
        <f>Vorrunde!G24</f>
        <v>Rumänien</v>
      </c>
      <c r="E23" s="13"/>
      <c r="F23" s="9"/>
      <c r="G23" s="47" t="str">
        <f>Text!A20</f>
        <v>ITA</v>
      </c>
      <c r="H23" s="48">
        <f>C22</f>
      </c>
      <c r="I23" s="49"/>
      <c r="J23" s="14">
        <f>B23</f>
      </c>
      <c r="K23" s="50">
        <f>C26</f>
      </c>
      <c r="L23" s="13"/>
      <c r="M23" s="9"/>
      <c r="N23" s="47" t="str">
        <f>Text!A20</f>
        <v>ITA</v>
      </c>
      <c r="O23" s="48">
        <f>IF(AND(ISNUMBER(H23),ISNUMBER(I22)),IF(H23&gt;I22,3,IF(H23=I22,1,0)),0)</f>
        <v>0</v>
      </c>
      <c r="P23" s="49"/>
      <c r="Q23" s="14">
        <f>IF(AND(ISNUMBER(J23),ISNUMBER(I24)),IF(J23&gt;I24,3,IF(J23=I24,1,0)),0)</f>
        <v>0</v>
      </c>
      <c r="R23" s="50">
        <f>IF(AND(ISNUMBER(K23),ISNUMBER(I25)),IF(K23&gt;I25,3,IF(K23=I25,1,0)),0)</f>
        <v>0</v>
      </c>
      <c r="S23" s="13"/>
      <c r="T23" s="9"/>
      <c r="U23" s="3">
        <v>2</v>
      </c>
      <c r="V23" s="51" t="str">
        <f>Text!B20</f>
        <v>Italien</v>
      </c>
      <c r="W23" s="48">
        <f>IF(COUNT(H23:K23)=COUNT(I22:I25),COUNT(I22:I25),"")</f>
        <v>0</v>
      </c>
      <c r="X23" s="14">
        <f>SUM(O23:R23)</f>
        <v>0</v>
      </c>
      <c r="Y23" s="14">
        <f>SUM(H23:K23)</f>
        <v>0</v>
      </c>
      <c r="Z23" s="14">
        <f>SUM(I22:I25)</f>
        <v>0</v>
      </c>
      <c r="AA23" s="50">
        <f>Y23-Z23</f>
        <v>0</v>
      </c>
      <c r="AB23" s="13"/>
      <c r="AC23" s="9"/>
      <c r="AD23" s="52">
        <f>BB23</f>
        <v>2</v>
      </c>
      <c r="AE23" s="13"/>
      <c r="AF23" s="9"/>
      <c r="AG23" s="51">
        <f>X23*10000+AA23*100+Y23</f>
        <v>0</v>
      </c>
      <c r="AH23" s="51">
        <f>COUNTIF(AG22:AG25,AG23)</f>
        <v>4</v>
      </c>
      <c r="AI23" s="51">
        <f>IF(AH23=1,"x","")</f>
      </c>
      <c r="AJ23" s="13"/>
      <c r="AK23" s="9"/>
      <c r="AL23" s="53">
        <f>IF(AI23="x",2,IF(AG24=AG23,3,IF(AG25=AG23,4,1)))</f>
        <v>3</v>
      </c>
      <c r="AM23" s="51">
        <f>INDEX(O23:R23,1,AL23)</f>
        <v>0</v>
      </c>
      <c r="AN23" s="54">
        <f>IF(OR(AH26=2,AH26=4),AM23/10,0)</f>
        <v>0</v>
      </c>
      <c r="AO23" s="13"/>
      <c r="AP23" s="9"/>
      <c r="AQ23" s="9"/>
      <c r="AR23" s="48" t="e">
        <f>X23-INDEX(O23:R23,1,AQ21)</f>
        <v>#N/A</v>
      </c>
      <c r="AS23" s="51" t="e">
        <f>AA23-(INDEX(H23:K23,1,AQ21)-INDEX(I22:I25,AQ21))</f>
        <v>#N/A</v>
      </c>
      <c r="AT23" s="48" t="e">
        <f>Y23-INDEX(H23:K23,1,AQ21)</f>
        <v>#N/A</v>
      </c>
      <c r="AU23" s="54">
        <f>IF(OR(AH26&lt;&gt;3,AI23="x"),0,AR23/10+AS23/1000+AT23/100000)</f>
        <v>0</v>
      </c>
      <c r="AV23" s="13"/>
      <c r="AW23" s="9"/>
      <c r="AX23" s="54">
        <f>AG23+AN23+AU23</f>
        <v>0</v>
      </c>
      <c r="AY23" s="48">
        <f>IF(INDEX(AX22:AX25,U23)&lt;=INDEX(AX22:AX25,U22),U23,U22)</f>
        <v>2</v>
      </c>
      <c r="AZ23" s="14">
        <f>IF(INDEX(AX22:AX25,AY23)&gt;=INDEX(AX22:AX25,AY25),AY23,AY25)</f>
        <v>2</v>
      </c>
      <c r="BA23" s="50">
        <f>IF(INDEX(AX22:AX25,AZ23)&gt;=INDEX(AX22:AX25,AZ24),AZ23,AZ24)</f>
        <v>2</v>
      </c>
      <c r="BB23" s="52">
        <f>MATCH(U23,BA22:BA25,0)</f>
        <v>2</v>
      </c>
      <c r="BC23" s="48">
        <f>COUNTIF(AX22:AX25,AX23)</f>
        <v>4</v>
      </c>
      <c r="BD23" s="50">
        <f>IF(BC23=1,"x","")</f>
      </c>
      <c r="BE23" s="51">
        <f>(BD23="x")*BB23</f>
        <v>0</v>
      </c>
      <c r="BF23" s="14"/>
      <c r="BG23" s="14"/>
    </row>
    <row r="24" spans="1:59" s="3" customFormat="1" ht="10.5" outlineLevel="1">
      <c r="A24" s="36" t="str">
        <f>Vorrunde!E25</f>
        <v>Niederlande</v>
      </c>
      <c r="B24" s="9">
        <f>IF(ISNUMBER(Vorrunde!H25),Vorrunde!H25,"")</f>
      </c>
      <c r="C24" s="9">
        <f>IF(ISNUMBER(Vorrunde!J25),Vorrunde!J25,"")</f>
      </c>
      <c r="D24" s="37" t="str">
        <f>Vorrunde!G25</f>
        <v>Frankreich</v>
      </c>
      <c r="E24" s="13"/>
      <c r="F24" s="9"/>
      <c r="G24" s="47" t="str">
        <f>Text!A21</f>
        <v>ROM</v>
      </c>
      <c r="H24" s="48">
        <f>C25</f>
      </c>
      <c r="I24" s="14">
        <f>C23</f>
      </c>
      <c r="J24" s="49"/>
      <c r="K24" s="50">
        <f>B21</f>
      </c>
      <c r="L24" s="13"/>
      <c r="M24" s="9"/>
      <c r="N24" s="47" t="str">
        <f>Text!A21</f>
        <v>ROM</v>
      </c>
      <c r="O24" s="48">
        <f>IF(AND(ISNUMBER(H24),ISNUMBER(J22)),IF(H24&gt;J22,3,IF(H24=J22,1,0)),0)</f>
        <v>0</v>
      </c>
      <c r="P24" s="14">
        <f>IF(AND(ISNUMBER(I24),ISNUMBER(J23)),IF(I24&gt;J23,3,IF(I24=J23,1,0)),0)</f>
        <v>0</v>
      </c>
      <c r="Q24" s="49"/>
      <c r="R24" s="50">
        <f>IF(AND(ISNUMBER(K24),ISNUMBER(J25)),IF(K24&gt;J25,3,IF(K24=J25,1,0)),0)</f>
        <v>0</v>
      </c>
      <c r="S24" s="13"/>
      <c r="T24" s="9"/>
      <c r="U24" s="3">
        <v>3</v>
      </c>
      <c r="V24" s="51" t="str">
        <f>Text!B21</f>
        <v>Rumänien</v>
      </c>
      <c r="W24" s="48">
        <f>IF(COUNT(H24:K24)=COUNT(J22:J25),COUNT(J22:J25),"")</f>
        <v>0</v>
      </c>
      <c r="X24" s="14">
        <f>SUM(O24:R24)</f>
        <v>0</v>
      </c>
      <c r="Y24" s="14">
        <f>SUM(H24:K24)</f>
        <v>0</v>
      </c>
      <c r="Z24" s="14">
        <f>SUM(J22:J25)</f>
        <v>0</v>
      </c>
      <c r="AA24" s="50">
        <f>Y24-Z24</f>
        <v>0</v>
      </c>
      <c r="AB24" s="13"/>
      <c r="AC24" s="9"/>
      <c r="AD24" s="52">
        <f>BB24</f>
        <v>3</v>
      </c>
      <c r="AE24" s="13"/>
      <c r="AF24" s="9"/>
      <c r="AG24" s="51">
        <f>X24*10000+AA24*100+Y24</f>
        <v>0</v>
      </c>
      <c r="AH24" s="51">
        <f>COUNTIF(AG22:AG25,AG24)</f>
        <v>4</v>
      </c>
      <c r="AI24" s="51">
        <f>IF(AH24=1,"x","")</f>
      </c>
      <c r="AJ24" s="13"/>
      <c r="AK24" s="9"/>
      <c r="AL24" s="53">
        <f>IF(AI24="x",3,IF(AG25=AG24,4,IF(AG23=AG24,2,1)))</f>
        <v>4</v>
      </c>
      <c r="AM24" s="51">
        <f>INDEX(O24:R24,1,AL24)</f>
        <v>0</v>
      </c>
      <c r="AN24" s="54">
        <f>IF(OR(AH26=2,AH26=4),AM24/10,0)</f>
        <v>0</v>
      </c>
      <c r="AO24" s="13"/>
      <c r="AP24" s="9"/>
      <c r="AQ24" s="9"/>
      <c r="AR24" s="48" t="e">
        <f>X24-INDEX(O24:R24,1,AQ21)</f>
        <v>#N/A</v>
      </c>
      <c r="AS24" s="51" t="e">
        <f>AA24-(INDEX(H24:K24,1,AQ21)-INDEX(J22:J25,AQ21))</f>
        <v>#N/A</v>
      </c>
      <c r="AT24" s="48" t="e">
        <f>Y24-INDEX(H24:K24,1,AQ21)</f>
        <v>#N/A</v>
      </c>
      <c r="AU24" s="54">
        <f>IF(OR(AH26&lt;&gt;3,AI24="x"),0,AR24/10+AS24/1000+AT24/100000)</f>
        <v>0</v>
      </c>
      <c r="AV24" s="13"/>
      <c r="AW24" s="9"/>
      <c r="AX24" s="54">
        <f>AG24+AN24+AU24</f>
        <v>0</v>
      </c>
      <c r="AY24" s="48">
        <f>IF(INDEX(AX22:AX25,U24)&gt;=INDEX(AX22:AX25,U25),U24,U25)</f>
        <v>3</v>
      </c>
      <c r="AZ24" s="14">
        <f>IF(INDEX(AX22:AX25,AY24)&lt;=INDEX(AX22:AX25,AY22),AY24,AY22)</f>
        <v>3</v>
      </c>
      <c r="BA24" s="50">
        <f>IF(INDEX(AX22:AX25,AZ24)&lt;=INDEX(AX22:AX25,AZ23),AZ24,AZ23)</f>
        <v>3</v>
      </c>
      <c r="BB24" s="52">
        <f>MATCH(U24,BA22:BA25,0)</f>
        <v>3</v>
      </c>
      <c r="BC24" s="48">
        <f>COUNTIF(AX22:AX25,AX24)</f>
        <v>4</v>
      </c>
      <c r="BD24" s="50">
        <f>IF(BC24=1,"x","")</f>
      </c>
      <c r="BE24" s="51">
        <f>(BD24="x")*BB24</f>
        <v>0</v>
      </c>
      <c r="BF24" s="14"/>
      <c r="BG24" s="14"/>
    </row>
    <row r="25" spans="1:59" s="3" customFormat="1" ht="10.5" outlineLevel="1">
      <c r="A25" s="36" t="str">
        <f>Vorrunde!E26</f>
        <v>Niederlande</v>
      </c>
      <c r="B25" s="9">
        <f>IF(ISNUMBER(Vorrunde!H26),Vorrunde!H26,"")</f>
      </c>
      <c r="C25" s="9">
        <f>IF(ISNUMBER(Vorrunde!J26),Vorrunde!J26,"")</f>
      </c>
      <c r="D25" s="37" t="str">
        <f>Vorrunde!G26</f>
        <v>Rumänien</v>
      </c>
      <c r="E25" s="55"/>
      <c r="F25" s="14"/>
      <c r="G25" s="56" t="str">
        <f>Text!A22</f>
        <v>Frau</v>
      </c>
      <c r="H25" s="57">
        <f>C24</f>
      </c>
      <c r="I25" s="58">
        <f>B26</f>
      </c>
      <c r="J25" s="58">
        <f>C21</f>
      </c>
      <c r="K25" s="59"/>
      <c r="L25" s="55"/>
      <c r="M25" s="14"/>
      <c r="N25" s="56" t="str">
        <f>Text!A22</f>
        <v>Frau</v>
      </c>
      <c r="O25" s="57">
        <f>IF(AND(ISNUMBER(H25),ISNUMBER(K22)),IF(H25&gt;K22,3,IF(H25=K22,1,0)),0)</f>
        <v>0</v>
      </c>
      <c r="P25" s="58">
        <f>IF(AND(ISNUMBER(I25),ISNUMBER(K23)),IF(I25&gt;K23,3,IF(I25=K23,1,0)),0)</f>
        <v>0</v>
      </c>
      <c r="Q25" s="58">
        <f>IF(AND(ISNUMBER(J25),ISNUMBER(K24)),IF(J25&gt;K24,3,IF(J25=K24,1,0)),0)</f>
        <v>0</v>
      </c>
      <c r="R25" s="59"/>
      <c r="S25" s="55"/>
      <c r="T25" s="14"/>
      <c r="U25" s="3">
        <v>4</v>
      </c>
      <c r="V25" s="60" t="str">
        <f>Text!B22</f>
        <v>Frankreich</v>
      </c>
      <c r="W25" s="57">
        <f>IF(COUNT(H25:K25)=COUNT(K22:K25),COUNT(K22:K25),"")</f>
        <v>0</v>
      </c>
      <c r="X25" s="58">
        <f>SUM(O25:R25)</f>
        <v>0</v>
      </c>
      <c r="Y25" s="58">
        <f>SUM(H25:K25)</f>
        <v>0</v>
      </c>
      <c r="Z25" s="58">
        <f>SUM(K22:K25)</f>
        <v>0</v>
      </c>
      <c r="AA25" s="61">
        <f>Y25-Z25</f>
        <v>0</v>
      </c>
      <c r="AB25" s="55"/>
      <c r="AC25" s="14"/>
      <c r="AD25" s="62">
        <f>BB25</f>
        <v>4</v>
      </c>
      <c r="AE25" s="55"/>
      <c r="AF25" s="14"/>
      <c r="AG25" s="60">
        <f>X25*10000+AA25*100+Y25</f>
        <v>0</v>
      </c>
      <c r="AH25" s="60">
        <f>COUNTIF(AG22:AG25,AG25)</f>
        <v>4</v>
      </c>
      <c r="AI25" s="60">
        <f>IF(AH25=1,"x","")</f>
      </c>
      <c r="AJ25" s="55"/>
      <c r="AK25" s="14"/>
      <c r="AL25" s="63">
        <f>IF(AI25="x",4,IF(AG22=AG25,1,IF(AG23=AG25,2,3)))</f>
        <v>1</v>
      </c>
      <c r="AM25" s="60">
        <f>INDEX(O25:R25,1,AL25)</f>
        <v>0</v>
      </c>
      <c r="AN25" s="64">
        <f>IF(OR(AH26=2,AH26=4),AM25/10,0)</f>
        <v>0</v>
      </c>
      <c r="AO25" s="55"/>
      <c r="AP25" s="14"/>
      <c r="AQ25" s="14"/>
      <c r="AR25" s="57" t="e">
        <f>X25-INDEX(O25:R25,1,AQ21)</f>
        <v>#N/A</v>
      </c>
      <c r="AS25" s="60" t="e">
        <f>AA25-(INDEX(H25:K25,1,AQ21)-INDEX(K22:K25,AQ21))</f>
        <v>#N/A</v>
      </c>
      <c r="AT25" s="57" t="e">
        <f>Y25-INDEX(H25:K25,1,AQ21)</f>
        <v>#N/A</v>
      </c>
      <c r="AU25" s="64">
        <f>IF(OR(AH26&lt;&gt;3,AI25="x"),0,AR25/10+AS25/1000+AT25/100000)</f>
        <v>0</v>
      </c>
      <c r="AV25" s="55"/>
      <c r="AW25" s="14"/>
      <c r="AX25" s="64">
        <f>AG25+AN25+AU25</f>
        <v>0</v>
      </c>
      <c r="AY25" s="57">
        <f>IF(INDEX(AX22:AX25,U25)&lt;=INDEX(AX22:AX25,U24),U25,U24)</f>
        <v>4</v>
      </c>
      <c r="AZ25" s="58">
        <f>IF(INDEX(AX22:AX25,AY25)&lt;=INDEX(AX22:AX25,AY23),AY25,AY23)</f>
        <v>4</v>
      </c>
      <c r="BA25" s="61">
        <f>IF(INDEX(AX22:AX25,AZ25)&lt;=INDEX(AX22:AX25,AZ22),AZ25,AZ22)</f>
        <v>4</v>
      </c>
      <c r="BB25" s="62">
        <f>MATCH(U25,BA22:BA25,0)</f>
        <v>4</v>
      </c>
      <c r="BC25" s="57">
        <f>COUNTIF(AX22:AX25,AX25)</f>
        <v>4</v>
      </c>
      <c r="BD25" s="61">
        <f>IF(BC25=1,"x","")</f>
      </c>
      <c r="BE25" s="51">
        <f>(BD25="x")*BB25</f>
        <v>0</v>
      </c>
      <c r="BF25" s="14"/>
      <c r="BG25" s="14"/>
    </row>
    <row r="26" spans="1:59" s="3" customFormat="1" ht="10.5">
      <c r="A26" s="65" t="str">
        <f>Vorrunde!E27</f>
        <v>Frankreich</v>
      </c>
      <c r="B26" s="66">
        <f>IF(ISNUMBER(Vorrunde!H27),Vorrunde!H27,"")</f>
      </c>
      <c r="C26" s="66">
        <f>IF(ISNUMBER(Vorrunde!J27),Vorrunde!J27,"")</f>
      </c>
      <c r="D26" s="67" t="str">
        <f>Vorrunde!G27</f>
        <v>Italien</v>
      </c>
      <c r="E26" s="13"/>
      <c r="F26" s="9"/>
      <c r="G26" s="4"/>
      <c r="H26" s="4"/>
      <c r="I26" s="4"/>
      <c r="J26" s="4"/>
      <c r="K26" s="9"/>
      <c r="L26" s="13"/>
      <c r="M26" s="9"/>
      <c r="N26" s="4"/>
      <c r="R26" s="14"/>
      <c r="S26" s="13"/>
      <c r="T26" s="9"/>
      <c r="V26" s="5" t="s">
        <v>54</v>
      </c>
      <c r="W26" s="3" t="b">
        <f>SUM(W22:W25)=12</f>
        <v>0</v>
      </c>
      <c r="AB26" s="13"/>
      <c r="AC26" s="9"/>
      <c r="AD26" s="62">
        <f>BF26</f>
      </c>
      <c r="AE26" s="13"/>
      <c r="AF26" s="9"/>
      <c r="AG26" s="68" t="s">
        <v>67</v>
      </c>
      <c r="AH26" s="69">
        <f>MOD(MIN(AH22:AH25)*MAX(AH22:AH25),11)</f>
        <v>5</v>
      </c>
      <c r="AJ26" s="13"/>
      <c r="AK26" s="9"/>
      <c r="AL26" s="9"/>
      <c r="AM26" s="14"/>
      <c r="AN26" s="14"/>
      <c r="AO26" s="13"/>
      <c r="AP26" s="9"/>
      <c r="AQ26" s="9"/>
      <c r="AV26" s="13"/>
      <c r="AW26" s="9"/>
      <c r="BD26" s="70">
        <f>COUNTIF(BD22:BD25,"x")</f>
        <v>0</v>
      </c>
      <c r="BE26" s="69">
        <f>SUM(BE22:BE25)</f>
        <v>0</v>
      </c>
      <c r="BF26" s="69">
        <f>IF(W26,IF(BD26&gt;=3,Text!B$40,IF(AND(BD26=2,BE26=3),Text!B$41,Text!B$42)),"")</f>
      </c>
      <c r="BG26" s="14"/>
    </row>
    <row r="27" spans="1:107" ht="10.5">
      <c r="A27" s="8"/>
      <c r="E27" s="13"/>
      <c r="L27" s="13"/>
      <c r="S27" s="13"/>
      <c r="AB27" s="13"/>
      <c r="AE27" s="13"/>
      <c r="AG27" s="16"/>
      <c r="AH27" s="16"/>
      <c r="AJ27" s="13"/>
      <c r="AK27" s="9"/>
      <c r="AL27" s="16"/>
      <c r="AM27" s="16"/>
      <c r="AN27" s="16"/>
      <c r="AO27" s="13"/>
      <c r="AP27" s="9"/>
      <c r="AQ27" s="16"/>
      <c r="AR27" s="170"/>
      <c r="AS27" s="170"/>
      <c r="AT27" s="170"/>
      <c r="AU27" s="16"/>
      <c r="AV27" s="13"/>
      <c r="AW27" s="9"/>
      <c r="AX27" s="14"/>
      <c r="AY27" s="169"/>
      <c r="AZ27" s="169"/>
      <c r="BA27" s="169"/>
      <c r="BB27" s="71"/>
      <c r="BC27" s="170"/>
      <c r="BD27" s="170"/>
      <c r="BE27" s="170"/>
      <c r="BZ27" s="14"/>
      <c r="CA27" s="14"/>
      <c r="CK27" s="14"/>
      <c r="CL27" s="14"/>
      <c r="CO27" s="14"/>
      <c r="CP27" s="14"/>
      <c r="CQ27" s="14"/>
      <c r="CR27" s="14"/>
      <c r="CS27" s="14"/>
      <c r="CW27" s="14"/>
      <c r="CX27" s="14"/>
      <c r="CY27" s="14"/>
      <c r="CZ27" s="14"/>
      <c r="DA27" s="14"/>
      <c r="DB27" s="14"/>
      <c r="DC27" s="14"/>
    </row>
    <row r="28" spans="1:107" ht="10.5">
      <c r="A28" s="8" t="str">
        <f>Text!B26</f>
        <v>GRUPPE D</v>
      </c>
      <c r="E28" s="13"/>
      <c r="L28" s="13"/>
      <c r="S28" s="13"/>
      <c r="AB28" s="13"/>
      <c r="AE28" s="13"/>
      <c r="AG28" s="16"/>
      <c r="AH28" s="16"/>
      <c r="AJ28" s="13"/>
      <c r="AK28" s="9"/>
      <c r="AL28" s="16"/>
      <c r="AM28" s="16"/>
      <c r="AN28" s="16"/>
      <c r="AO28" s="13"/>
      <c r="AP28" s="9"/>
      <c r="AQ28" s="16"/>
      <c r="AR28" s="170"/>
      <c r="AS28" s="170"/>
      <c r="AT28" s="170"/>
      <c r="AU28" s="16"/>
      <c r="AV28" s="13"/>
      <c r="AW28" s="9"/>
      <c r="AX28" s="14"/>
      <c r="AY28" s="169"/>
      <c r="AZ28" s="169"/>
      <c r="BA28" s="169"/>
      <c r="BB28" s="71"/>
      <c r="BC28" s="170"/>
      <c r="BD28" s="170"/>
      <c r="BE28" s="170"/>
      <c r="BZ28" s="14"/>
      <c r="CA28" s="14"/>
      <c r="CK28" s="14"/>
      <c r="CL28" s="14"/>
      <c r="CO28" s="14"/>
      <c r="CP28" s="14"/>
      <c r="CQ28" s="14"/>
      <c r="CR28" s="14"/>
      <c r="CS28" s="14"/>
      <c r="CW28" s="14"/>
      <c r="CX28" s="14"/>
      <c r="CY28" s="14"/>
      <c r="CZ28" s="14"/>
      <c r="DA28" s="14"/>
      <c r="DB28" s="14"/>
      <c r="DC28" s="14"/>
    </row>
    <row r="29" spans="1:50" s="3" customFormat="1" ht="21.75">
      <c r="A29" s="23" t="str">
        <f>Vorrunde!E30</f>
        <v>Spanien</v>
      </c>
      <c r="B29" s="24">
        <f>IF(ISNUMBER(Vorrunde!H30),Vorrunde!H30,"")</f>
      </c>
      <c r="C29" s="24">
        <f>IF(ISNUMBER(Vorrunde!J30),Vorrunde!J30,"")</f>
      </c>
      <c r="D29" s="25" t="str">
        <f>Vorrunde!G30</f>
        <v>Russland</v>
      </c>
      <c r="E29" s="26"/>
      <c r="F29" s="27"/>
      <c r="G29" s="28">
        <f>SUM(H30:K33)</f>
        <v>0</v>
      </c>
      <c r="H29" s="29" t="str">
        <f>Text!A27</f>
        <v>GRE</v>
      </c>
      <c r="I29" s="30" t="str">
        <f>Text!A28</f>
        <v>SWE</v>
      </c>
      <c r="J29" s="30" t="str">
        <f>Text!A29</f>
        <v>ESP</v>
      </c>
      <c r="K29" s="31" t="str">
        <f>Text!A30</f>
        <v>RUS</v>
      </c>
      <c r="L29" s="26"/>
      <c r="M29" s="27"/>
      <c r="N29" s="28">
        <f>SUM(O30:R33)</f>
        <v>0</v>
      </c>
      <c r="O29" s="29" t="str">
        <f>Text!A27</f>
        <v>GRE</v>
      </c>
      <c r="P29" s="30" t="str">
        <f>Text!A28</f>
        <v>SWE</v>
      </c>
      <c r="Q29" s="30" t="str">
        <f>Text!A29</f>
        <v>ESP</v>
      </c>
      <c r="R29" s="31" t="str">
        <f>Text!A30</f>
        <v>RUS</v>
      </c>
      <c r="S29" s="26"/>
      <c r="T29" s="27"/>
      <c r="W29" s="32" t="str">
        <f>Text!A$33</f>
        <v>Sp.</v>
      </c>
      <c r="X29" s="33" t="str">
        <f>Text!A$34</f>
        <v>Pkte.</v>
      </c>
      <c r="Y29" s="33" t="str">
        <f>Text!A$35</f>
        <v>T</v>
      </c>
      <c r="Z29" s="33" t="str">
        <f>Text!A$36</f>
        <v>GT</v>
      </c>
      <c r="AA29" s="34" t="str">
        <f>Text!A$37</f>
        <v>Diff.</v>
      </c>
      <c r="AB29" s="26"/>
      <c r="AC29" s="27"/>
      <c r="AD29" s="4"/>
      <c r="AE29" s="26"/>
      <c r="AF29" s="27"/>
      <c r="AJ29" s="26"/>
      <c r="AK29" s="27"/>
      <c r="AL29" s="27"/>
      <c r="AM29" s="14"/>
      <c r="AN29" s="14"/>
      <c r="AO29" s="26"/>
      <c r="AP29" s="27"/>
      <c r="AQ29" s="35" t="e">
        <f>MATCH(1,AH30:AH33,0)</f>
        <v>#N/A</v>
      </c>
      <c r="AV29" s="26"/>
      <c r="AW29" s="27"/>
      <c r="AX29" s="15"/>
    </row>
    <row r="30" spans="1:59" s="3" customFormat="1" ht="10.5" outlineLevel="1">
      <c r="A30" s="36" t="str">
        <f>Vorrunde!E31</f>
        <v>Griechenland</v>
      </c>
      <c r="B30" s="9">
        <f>IF(ISNUMBER(Vorrunde!H31),Vorrunde!H31,"")</f>
      </c>
      <c r="C30" s="9">
        <f>IF(ISNUMBER(Vorrunde!J31),Vorrunde!J31,"")</f>
      </c>
      <c r="D30" s="37" t="str">
        <f>Vorrunde!G31</f>
        <v>Schweden</v>
      </c>
      <c r="E30" s="13"/>
      <c r="F30" s="9"/>
      <c r="G30" s="38" t="str">
        <f>Text!A27</f>
        <v>GRE</v>
      </c>
      <c r="H30" s="39"/>
      <c r="I30" s="40">
        <f>B30</f>
      </c>
      <c r="J30" s="40">
        <f>B33</f>
      </c>
      <c r="K30" s="41">
        <f>B32</f>
      </c>
      <c r="L30" s="13"/>
      <c r="M30" s="9"/>
      <c r="N30" s="38" t="str">
        <f>Text!A27</f>
        <v>GRE</v>
      </c>
      <c r="O30" s="39"/>
      <c r="P30" s="40">
        <f>IF(AND(ISNUMBER(I30),ISNUMBER(H31)),IF(I30&gt;H31,3,IF(I30=H31,1,0)),0)</f>
        <v>0</v>
      </c>
      <c r="Q30" s="40">
        <f>IF(AND(ISNUMBER(J30),ISNUMBER(H32)),IF(J30&gt;H32,3,IF(J30=H32,1,0)),0)</f>
        <v>0</v>
      </c>
      <c r="R30" s="41">
        <f>IF(AND(ISNUMBER(K30),ISNUMBER(H33)),IF(K30&gt;H33,3,IF(K30=H33,1,0)),0)</f>
        <v>0</v>
      </c>
      <c r="S30" s="13"/>
      <c r="T30" s="9"/>
      <c r="U30" s="3">
        <v>1</v>
      </c>
      <c r="V30" s="42" t="str">
        <f>Text!B27</f>
        <v>Griechenland</v>
      </c>
      <c r="W30" s="43">
        <f>IF(COUNT(H30:K30)=COUNT(H30:H33),COUNT(H30:H33),"")</f>
        <v>0</v>
      </c>
      <c r="X30" s="40">
        <f>SUM(O30:R30)</f>
        <v>0</v>
      </c>
      <c r="Y30" s="40">
        <f>SUM(H30:K30)</f>
        <v>0</v>
      </c>
      <c r="Z30" s="40">
        <f>SUM(H30:H33)</f>
        <v>0</v>
      </c>
      <c r="AA30" s="41">
        <f>Y30-Z30</f>
        <v>0</v>
      </c>
      <c r="AB30" s="13"/>
      <c r="AC30" s="9"/>
      <c r="AD30" s="44">
        <f>BB30</f>
        <v>1</v>
      </c>
      <c r="AE30" s="13"/>
      <c r="AF30" s="9"/>
      <c r="AG30" s="42">
        <f>X30*10000+AA30*100+Y30</f>
        <v>0</v>
      </c>
      <c r="AH30" s="42">
        <f>COUNTIF(AG30:AG33,AG30)</f>
        <v>4</v>
      </c>
      <c r="AI30" s="42">
        <f>IF(AH30=1,"x","")</f>
      </c>
      <c r="AJ30" s="13"/>
      <c r="AK30" s="9"/>
      <c r="AL30" s="45">
        <f>IF(AI30="x",1,IF(AG31=AG30,2,IF(AG32=AG30,3,4)))</f>
        <v>2</v>
      </c>
      <c r="AM30" s="42">
        <f>INDEX(O30:R30,1,AL30)</f>
        <v>0</v>
      </c>
      <c r="AN30" s="46">
        <f>IF(OR(AH34=2,AH34=4),AM30/10,0)</f>
        <v>0</v>
      </c>
      <c r="AO30" s="13"/>
      <c r="AP30" s="9"/>
      <c r="AQ30" s="9"/>
      <c r="AR30" s="43" t="e">
        <f>X30-INDEX(O30:R30,1,AQ29)</f>
        <v>#N/A</v>
      </c>
      <c r="AS30" s="42" t="e">
        <f>AA30-(INDEX(H30:K30,1,AQ29)-INDEX(H30:H33,AQ29,1))</f>
        <v>#N/A</v>
      </c>
      <c r="AT30" s="43" t="e">
        <f>Y30-INDEX(H30:K30,1,AQ29)</f>
        <v>#N/A</v>
      </c>
      <c r="AU30" s="46">
        <f>IF(OR(AH34&lt;&gt;3,AI30="x"),0,AR30/10+AS30/1000+AT30/100000)</f>
        <v>0</v>
      </c>
      <c r="AV30" s="13"/>
      <c r="AW30" s="9"/>
      <c r="AX30" s="46">
        <f>AG30+AN30+AU30</f>
        <v>0</v>
      </c>
      <c r="AY30" s="43">
        <f>IF(INDEX(AX30:AX33,U30)&gt;=INDEX(AX30:AX33,U31),U30,U31)</f>
        <v>1</v>
      </c>
      <c r="AZ30" s="40">
        <f>IF(INDEX(AX30:AX33,AY30)&gt;=INDEX(AX30:AX33,AY32),AY30,AY32)</f>
        <v>1</v>
      </c>
      <c r="BA30" s="41">
        <f>IF(INDEX(AX30:AX33,AZ30)&gt;=INDEX(AX30:AX33,AZ33),AZ30,AZ33)</f>
        <v>1</v>
      </c>
      <c r="BB30" s="44">
        <f>MATCH(U30,BA30:BA33,0)</f>
        <v>1</v>
      </c>
      <c r="BC30" s="43">
        <f>COUNTIF(AX30:AX33,AX30)</f>
        <v>4</v>
      </c>
      <c r="BD30" s="41">
        <f>IF(BC30=1,"x","")</f>
      </c>
      <c r="BE30" s="42">
        <f>(BD30="x")*BB30</f>
        <v>0</v>
      </c>
      <c r="BF30" s="14"/>
      <c r="BG30" s="14"/>
    </row>
    <row r="31" spans="1:59" s="3" customFormat="1" ht="10.5" outlineLevel="1">
      <c r="A31" s="36" t="str">
        <f>Vorrunde!E32</f>
        <v>Schweden</v>
      </c>
      <c r="B31" s="9">
        <f>IF(ISNUMBER(Vorrunde!H32),Vorrunde!H32,"")</f>
      </c>
      <c r="C31" s="9">
        <f>IF(ISNUMBER(Vorrunde!J32),Vorrunde!J32,"")</f>
      </c>
      <c r="D31" s="37" t="str">
        <f>Vorrunde!G32</f>
        <v>Spanien</v>
      </c>
      <c r="E31" s="13"/>
      <c r="F31" s="9"/>
      <c r="G31" s="47" t="str">
        <f>Text!A28</f>
        <v>SWE</v>
      </c>
      <c r="H31" s="48">
        <f>C30</f>
      </c>
      <c r="I31" s="49"/>
      <c r="J31" s="14">
        <f>B31</f>
      </c>
      <c r="K31" s="50">
        <f>C34</f>
      </c>
      <c r="L31" s="13"/>
      <c r="M31" s="9"/>
      <c r="N31" s="47" t="str">
        <f>Text!A28</f>
        <v>SWE</v>
      </c>
      <c r="O31" s="48">
        <f>IF(AND(ISNUMBER(H31),ISNUMBER(I30)),IF(H31&gt;I30,3,IF(H31=I30,1,0)),0)</f>
        <v>0</v>
      </c>
      <c r="P31" s="49"/>
      <c r="Q31" s="14">
        <f>IF(AND(ISNUMBER(J31),ISNUMBER(I32)),IF(J31&gt;I32,3,IF(J31=I32,1,0)),0)</f>
        <v>0</v>
      </c>
      <c r="R31" s="50">
        <f>IF(AND(ISNUMBER(K31),ISNUMBER(I33)),IF(K31&gt;I33,3,IF(K31=I33,1,0)),0)</f>
        <v>0</v>
      </c>
      <c r="S31" s="13"/>
      <c r="T31" s="9"/>
      <c r="U31" s="3">
        <v>2</v>
      </c>
      <c r="V31" s="51" t="str">
        <f>Text!B28</f>
        <v>Schweden</v>
      </c>
      <c r="W31" s="48">
        <f>IF(COUNT(H31:K31)=COUNT(I30:I33),COUNT(I30:I33),"")</f>
        <v>0</v>
      </c>
      <c r="X31" s="14">
        <f>SUM(O31:R31)</f>
        <v>0</v>
      </c>
      <c r="Y31" s="14">
        <f>SUM(H31:K31)</f>
        <v>0</v>
      </c>
      <c r="Z31" s="14">
        <f>SUM(I30:I33)</f>
        <v>0</v>
      </c>
      <c r="AA31" s="50">
        <f>Y31-Z31</f>
        <v>0</v>
      </c>
      <c r="AB31" s="13"/>
      <c r="AC31" s="9"/>
      <c r="AD31" s="52">
        <f>BB31</f>
        <v>2</v>
      </c>
      <c r="AE31" s="13"/>
      <c r="AF31" s="9"/>
      <c r="AG31" s="51">
        <f>X31*10000+AA31*100+Y31</f>
        <v>0</v>
      </c>
      <c r="AH31" s="51">
        <f>COUNTIF(AG30:AG33,AG31)</f>
        <v>4</v>
      </c>
      <c r="AI31" s="51">
        <f>IF(AH31=1,"x","")</f>
      </c>
      <c r="AJ31" s="13"/>
      <c r="AK31" s="9"/>
      <c r="AL31" s="53">
        <f>IF(AI31="x",2,IF(AG32=AG31,3,IF(AG33=AG31,4,1)))</f>
        <v>3</v>
      </c>
      <c r="AM31" s="51">
        <f>INDEX(O31:R31,1,AL31)</f>
        <v>0</v>
      </c>
      <c r="AN31" s="54">
        <f>IF(OR(AH34=2,AH34=4),AM31/10,0)</f>
        <v>0</v>
      </c>
      <c r="AO31" s="13"/>
      <c r="AP31" s="9"/>
      <c r="AQ31" s="9"/>
      <c r="AR31" s="48" t="e">
        <f>X31-INDEX(O31:R31,1,AQ29)</f>
        <v>#N/A</v>
      </c>
      <c r="AS31" s="51" t="e">
        <f>AA31-(INDEX(H31:K31,1,AQ29)-INDEX(I30:I33,AQ29))</f>
        <v>#N/A</v>
      </c>
      <c r="AT31" s="48" t="e">
        <f>Y31-INDEX(H31:K31,1,AQ29)</f>
        <v>#N/A</v>
      </c>
      <c r="AU31" s="54">
        <f>IF(OR(AH34&lt;&gt;3,AI31="x"),0,AR31/10+AS31/1000+AT31/100000)</f>
        <v>0</v>
      </c>
      <c r="AV31" s="13"/>
      <c r="AW31" s="9"/>
      <c r="AX31" s="54">
        <f>AG31+AN31+AU31</f>
        <v>0</v>
      </c>
      <c r="AY31" s="48">
        <f>IF(INDEX(AX30:AX33,U31)&lt;=INDEX(AX30:AX33,U30),U31,U30)</f>
        <v>2</v>
      </c>
      <c r="AZ31" s="14">
        <f>IF(INDEX(AX30:AX33,AY31)&gt;=INDEX(AX30:AX33,AY33),AY31,AY33)</f>
        <v>2</v>
      </c>
      <c r="BA31" s="50">
        <f>IF(INDEX(AX30:AX33,AZ31)&gt;=INDEX(AX30:AX33,AZ32),AZ31,AZ32)</f>
        <v>2</v>
      </c>
      <c r="BB31" s="52">
        <f>MATCH(U31,BA30:BA33,0)</f>
        <v>2</v>
      </c>
      <c r="BC31" s="48">
        <f>COUNTIF(AX30:AX33,AX31)</f>
        <v>4</v>
      </c>
      <c r="BD31" s="50">
        <f>IF(BC31=1,"x","")</f>
      </c>
      <c r="BE31" s="51">
        <f>(BD31="x")*BB31</f>
        <v>0</v>
      </c>
      <c r="BF31" s="14"/>
      <c r="BG31" s="14"/>
    </row>
    <row r="32" spans="1:59" s="3" customFormat="1" ht="10.5" outlineLevel="1">
      <c r="A32" s="36" t="str">
        <f>Vorrunde!E33</f>
        <v>Griechenland</v>
      </c>
      <c r="B32" s="9">
        <f>IF(ISNUMBER(Vorrunde!H33),Vorrunde!H33,"")</f>
      </c>
      <c r="C32" s="9">
        <f>IF(ISNUMBER(Vorrunde!J33),Vorrunde!J33,"")</f>
      </c>
      <c r="D32" s="37" t="str">
        <f>Vorrunde!G33</f>
        <v>Russland</v>
      </c>
      <c r="E32" s="13"/>
      <c r="F32" s="9"/>
      <c r="G32" s="47" t="str">
        <f>Text!A29</f>
        <v>ESP</v>
      </c>
      <c r="H32" s="48">
        <f>C33</f>
      </c>
      <c r="I32" s="14">
        <f>C31</f>
      </c>
      <c r="J32" s="49"/>
      <c r="K32" s="50">
        <f>B29</f>
      </c>
      <c r="L32" s="13"/>
      <c r="M32" s="9"/>
      <c r="N32" s="47" t="str">
        <f>Text!A29</f>
        <v>ESP</v>
      </c>
      <c r="O32" s="48">
        <f>IF(AND(ISNUMBER(H32),ISNUMBER(J30)),IF(H32&gt;J30,3,IF(H32=J30,1,0)),0)</f>
        <v>0</v>
      </c>
      <c r="P32" s="14">
        <f>IF(AND(ISNUMBER(I32),ISNUMBER(J31)),IF(I32&gt;J31,3,IF(I32=J31,1,0)),0)</f>
        <v>0</v>
      </c>
      <c r="Q32" s="49"/>
      <c r="R32" s="50">
        <f>IF(AND(ISNUMBER(K32),ISNUMBER(J33)),IF(K32&gt;J33,3,IF(K32=J33,1,0)),0)</f>
        <v>0</v>
      </c>
      <c r="S32" s="13"/>
      <c r="T32" s="9"/>
      <c r="U32" s="3">
        <v>3</v>
      </c>
      <c r="V32" s="51" t="str">
        <f>Text!B29</f>
        <v>Spanien</v>
      </c>
      <c r="W32" s="48">
        <f>IF(COUNT(H32:K32)=COUNT(J30:J33),COUNT(J30:J33),"")</f>
        <v>0</v>
      </c>
      <c r="X32" s="14">
        <f>SUM(O32:R32)</f>
        <v>0</v>
      </c>
      <c r="Y32" s="14">
        <f>SUM(H32:K32)</f>
        <v>0</v>
      </c>
      <c r="Z32" s="14">
        <f>SUM(J30:J33)</f>
        <v>0</v>
      </c>
      <c r="AA32" s="50">
        <f>Y32-Z32</f>
        <v>0</v>
      </c>
      <c r="AB32" s="13"/>
      <c r="AC32" s="9"/>
      <c r="AD32" s="52">
        <f>BB32</f>
        <v>3</v>
      </c>
      <c r="AE32" s="13"/>
      <c r="AF32" s="9"/>
      <c r="AG32" s="51">
        <f>X32*10000+AA32*100+Y32</f>
        <v>0</v>
      </c>
      <c r="AH32" s="51">
        <f>COUNTIF(AG30:AG33,AG32)</f>
        <v>4</v>
      </c>
      <c r="AI32" s="51">
        <f>IF(AH32=1,"x","")</f>
      </c>
      <c r="AJ32" s="13"/>
      <c r="AK32" s="9"/>
      <c r="AL32" s="53">
        <f>IF(AI32="x",3,IF(AG33=AG32,4,IF(AG31=AG32,2,1)))</f>
        <v>4</v>
      </c>
      <c r="AM32" s="51">
        <f>INDEX(O32:R32,1,AL32)</f>
        <v>0</v>
      </c>
      <c r="AN32" s="54">
        <f>IF(OR(AH34=2,AH34=4),AM32/10,0)</f>
        <v>0</v>
      </c>
      <c r="AO32" s="13"/>
      <c r="AP32" s="9"/>
      <c r="AQ32" s="9"/>
      <c r="AR32" s="48" t="e">
        <f>X32-INDEX(O32:R32,1,AQ29)</f>
        <v>#N/A</v>
      </c>
      <c r="AS32" s="51" t="e">
        <f>AA32-(INDEX(H32:K32,1,AQ29)-INDEX(J30:J33,AQ29))</f>
        <v>#N/A</v>
      </c>
      <c r="AT32" s="48" t="e">
        <f>Y32-INDEX(H32:K32,1,AQ29)</f>
        <v>#N/A</v>
      </c>
      <c r="AU32" s="54">
        <f>IF(OR(AH34&lt;&gt;3,AI32="x"),0,AR32/10+AS32/1000+AT32/100000)</f>
        <v>0</v>
      </c>
      <c r="AV32" s="13"/>
      <c r="AW32" s="9"/>
      <c r="AX32" s="54">
        <f>AG32+AN32+AU32</f>
        <v>0</v>
      </c>
      <c r="AY32" s="48">
        <f>IF(INDEX(AX30:AX33,U32)&gt;=INDEX(AX30:AX33,U33),U32,U33)</f>
        <v>3</v>
      </c>
      <c r="AZ32" s="14">
        <f>IF(INDEX(AX30:AX33,AY32)&lt;=INDEX(AX30:AX33,AY30),AY32,AY30)</f>
        <v>3</v>
      </c>
      <c r="BA32" s="50">
        <f>IF(INDEX(AX30:AX33,AZ32)&lt;=INDEX(AX30:AX33,AZ31),AZ32,AZ31)</f>
        <v>3</v>
      </c>
      <c r="BB32" s="52">
        <f>MATCH(U32,BA30:BA33,0)</f>
        <v>3</v>
      </c>
      <c r="BC32" s="48">
        <f>COUNTIF(AX30:AX33,AX32)</f>
        <v>4</v>
      </c>
      <c r="BD32" s="50">
        <f>IF(BC32=1,"x","")</f>
      </c>
      <c r="BE32" s="51">
        <f>(BD32="x")*BB32</f>
        <v>0</v>
      </c>
      <c r="BF32" s="14"/>
      <c r="BG32" s="14"/>
    </row>
    <row r="33" spans="1:59" s="3" customFormat="1" ht="10.5" outlineLevel="1">
      <c r="A33" s="36" t="str">
        <f>Vorrunde!E34</f>
        <v>Griechenland</v>
      </c>
      <c r="B33" s="9">
        <f>IF(ISNUMBER(Vorrunde!H34),Vorrunde!H34,"")</f>
      </c>
      <c r="C33" s="9">
        <f>IF(ISNUMBER(Vorrunde!J34),Vorrunde!J34,"")</f>
      </c>
      <c r="D33" s="37" t="str">
        <f>Vorrunde!G34</f>
        <v>Spanien</v>
      </c>
      <c r="E33" s="55"/>
      <c r="F33" s="14"/>
      <c r="G33" s="56" t="str">
        <f>Text!A30</f>
        <v>RUS</v>
      </c>
      <c r="H33" s="57">
        <f>C32</f>
      </c>
      <c r="I33" s="58">
        <f>B34</f>
      </c>
      <c r="J33" s="58">
        <f>C29</f>
      </c>
      <c r="K33" s="59"/>
      <c r="L33" s="55"/>
      <c r="M33" s="14"/>
      <c r="N33" s="56" t="str">
        <f>Text!A30</f>
        <v>RUS</v>
      </c>
      <c r="O33" s="57">
        <f>IF(AND(ISNUMBER(H33),ISNUMBER(K30)),IF(H33&gt;K30,3,IF(H33=K30,1,0)),0)</f>
        <v>0</v>
      </c>
      <c r="P33" s="58">
        <f>IF(AND(ISNUMBER(I33),ISNUMBER(K31)),IF(I33&gt;K31,3,IF(I33=K31,1,0)),0)</f>
        <v>0</v>
      </c>
      <c r="Q33" s="58">
        <f>IF(AND(ISNUMBER(J33),ISNUMBER(K32)),IF(J33&gt;K32,3,IF(J33=K32,1,0)),0)</f>
        <v>0</v>
      </c>
      <c r="R33" s="59"/>
      <c r="S33" s="55"/>
      <c r="T33" s="14"/>
      <c r="U33" s="3">
        <v>4</v>
      </c>
      <c r="V33" s="60" t="str">
        <f>Text!B30</f>
        <v>Russland</v>
      </c>
      <c r="W33" s="57">
        <f>IF(COUNT(H33:K33)=COUNT(K30:K33),COUNT(K30:K33),"")</f>
        <v>0</v>
      </c>
      <c r="X33" s="58">
        <f>SUM(O33:R33)</f>
        <v>0</v>
      </c>
      <c r="Y33" s="58">
        <f>SUM(H33:K33)</f>
        <v>0</v>
      </c>
      <c r="Z33" s="58">
        <f>SUM(K30:K33)</f>
        <v>0</v>
      </c>
      <c r="AA33" s="61">
        <f>Y33-Z33</f>
        <v>0</v>
      </c>
      <c r="AB33" s="55"/>
      <c r="AC33" s="14"/>
      <c r="AD33" s="62">
        <f>BB33</f>
        <v>4</v>
      </c>
      <c r="AE33" s="55"/>
      <c r="AF33" s="14"/>
      <c r="AG33" s="60">
        <f>X33*10000+AA33*100+Y33</f>
        <v>0</v>
      </c>
      <c r="AH33" s="60">
        <f>COUNTIF(AG30:AG33,AG33)</f>
        <v>4</v>
      </c>
      <c r="AI33" s="60">
        <f>IF(AH33=1,"x","")</f>
      </c>
      <c r="AJ33" s="55"/>
      <c r="AK33" s="14"/>
      <c r="AL33" s="63">
        <f>IF(AI33="x",4,IF(AG30=AG33,1,IF(AG31=AG33,2,3)))</f>
        <v>1</v>
      </c>
      <c r="AM33" s="60">
        <f>INDEX(O33:R33,1,AL33)</f>
        <v>0</v>
      </c>
      <c r="AN33" s="64">
        <f>IF(OR(AH34=2,AH34=4),AM33/10,0)</f>
        <v>0</v>
      </c>
      <c r="AO33" s="55"/>
      <c r="AP33" s="14"/>
      <c r="AQ33" s="14"/>
      <c r="AR33" s="57" t="e">
        <f>X33-INDEX(O33:R33,1,AQ29)</f>
        <v>#N/A</v>
      </c>
      <c r="AS33" s="60" t="e">
        <f>AA33-(INDEX(H33:K33,1,AQ29)-INDEX(K30:K33,AQ29))</f>
        <v>#N/A</v>
      </c>
      <c r="AT33" s="57" t="e">
        <f>Y33-INDEX(H33:K33,1,AQ29)</f>
        <v>#N/A</v>
      </c>
      <c r="AU33" s="64">
        <f>IF(OR(AH34&lt;&gt;3,AI33="x"),0,AR33/10+AS33/1000+AT33/100000)</f>
        <v>0</v>
      </c>
      <c r="AV33" s="55"/>
      <c r="AW33" s="14"/>
      <c r="AX33" s="64">
        <f>AG33+AN33+AU33</f>
        <v>0</v>
      </c>
      <c r="AY33" s="57">
        <f>IF(INDEX(AX30:AX33,U33)&lt;=INDEX(AX30:AX33,U32),U33,U32)</f>
        <v>4</v>
      </c>
      <c r="AZ33" s="58">
        <f>IF(INDEX(AX30:AX33,AY33)&lt;=INDEX(AX30:AX33,AY31),AY33,AY31)</f>
        <v>4</v>
      </c>
      <c r="BA33" s="61">
        <f>IF(INDEX(AX30:AX33,AZ33)&lt;=INDEX(AX30:AX33,AZ30),AZ33,AZ30)</f>
        <v>4</v>
      </c>
      <c r="BB33" s="62">
        <f>MATCH(U33,BA30:BA33,0)</f>
        <v>4</v>
      </c>
      <c r="BC33" s="57">
        <f>COUNTIF(AX30:AX33,AX33)</f>
        <v>4</v>
      </c>
      <c r="BD33" s="61">
        <f>IF(BC33=1,"x","")</f>
      </c>
      <c r="BE33" s="51">
        <f>(BD33="x")*BB33</f>
        <v>0</v>
      </c>
      <c r="BF33" s="14"/>
      <c r="BG33" s="14"/>
    </row>
    <row r="34" spans="1:59" s="3" customFormat="1" ht="10.5">
      <c r="A34" s="65" t="str">
        <f>Vorrunde!E35</f>
        <v>Russland</v>
      </c>
      <c r="B34" s="66">
        <f>IF(ISNUMBER(Vorrunde!H35),Vorrunde!H35,"")</f>
      </c>
      <c r="C34" s="66">
        <f>IF(ISNUMBER(Vorrunde!J35),Vorrunde!J35,"")</f>
      </c>
      <c r="D34" s="67" t="str">
        <f>Vorrunde!G35</f>
        <v>Schweden</v>
      </c>
      <c r="E34" s="13"/>
      <c r="F34" s="9"/>
      <c r="G34" s="4"/>
      <c r="H34" s="4"/>
      <c r="I34" s="4"/>
      <c r="J34" s="4"/>
      <c r="K34" s="9"/>
      <c r="L34" s="13"/>
      <c r="M34" s="9"/>
      <c r="N34" s="4"/>
      <c r="R34" s="14"/>
      <c r="S34" s="13"/>
      <c r="T34" s="9"/>
      <c r="V34" s="5" t="s">
        <v>54</v>
      </c>
      <c r="W34" s="3" t="b">
        <f>SUM(W30:W33)=12</f>
        <v>0</v>
      </c>
      <c r="AB34" s="13"/>
      <c r="AC34" s="9"/>
      <c r="AD34" s="62">
        <f>BF34</f>
      </c>
      <c r="AE34" s="13"/>
      <c r="AF34" s="9"/>
      <c r="AG34" s="68" t="s">
        <v>67</v>
      </c>
      <c r="AH34" s="69">
        <f>MOD(MIN(AH30:AH33)*MAX(AH30:AH33),11)</f>
        <v>5</v>
      </c>
      <c r="AJ34" s="13"/>
      <c r="AK34" s="9"/>
      <c r="AL34" s="9"/>
      <c r="AM34" s="14"/>
      <c r="AN34" s="14"/>
      <c r="AO34" s="13"/>
      <c r="AP34" s="9"/>
      <c r="AQ34" s="9"/>
      <c r="AV34" s="13"/>
      <c r="AW34" s="9"/>
      <c r="BD34" s="70">
        <f>COUNTIF(BD30:BD33,"x")</f>
        <v>0</v>
      </c>
      <c r="BE34" s="69">
        <f>SUM(BE30:BE33)</f>
        <v>0</v>
      </c>
      <c r="BF34" s="69">
        <f>IF(W34,IF(BD34&gt;=3,Text!B$40,IF(AND(BD34=2,BE34=3),Text!B$41,Text!B$42)),"")</f>
      </c>
      <c r="BG34" s="14"/>
    </row>
  </sheetData>
  <sheetProtection/>
  <mergeCells count="28">
    <mergeCell ref="AY27:BA27"/>
    <mergeCell ref="BC27:BE27"/>
    <mergeCell ref="AR28:AT28"/>
    <mergeCell ref="AY28:BA28"/>
    <mergeCell ref="BC28:BE28"/>
    <mergeCell ref="AR27:AT27"/>
    <mergeCell ref="AR19:AT19"/>
    <mergeCell ref="AY19:BA19"/>
    <mergeCell ref="BC19:BE19"/>
    <mergeCell ref="AR20:AT20"/>
    <mergeCell ref="AY20:BA20"/>
    <mergeCell ref="BC20:BE20"/>
    <mergeCell ref="A1:D1"/>
    <mergeCell ref="G1:K1"/>
    <mergeCell ref="N1:R1"/>
    <mergeCell ref="AR12:AT12"/>
    <mergeCell ref="AR3:AT3"/>
    <mergeCell ref="AL1:AN1"/>
    <mergeCell ref="AY3:BA3"/>
    <mergeCell ref="BC3:BE3"/>
    <mergeCell ref="AR4:AT4"/>
    <mergeCell ref="AY4:BA4"/>
    <mergeCell ref="BC4:BE4"/>
    <mergeCell ref="AY12:BA12"/>
    <mergeCell ref="BC12:BE12"/>
    <mergeCell ref="AR11:AT11"/>
    <mergeCell ref="AY11:BA11"/>
    <mergeCell ref="BC11:BE11"/>
  </mergeCells>
  <conditionalFormatting sqref="BF10:BG10 BF18:BG18 BF26:BG26 BF34:BG34">
    <cfRule type="expression" priority="1" dxfId="4" stopIfTrue="1">
      <formula>OR(#REF!=1,#REF!=4)</formula>
    </cfRule>
  </conditionalFormatting>
  <printOptions/>
  <pageMargins left="0.787401575" right="0.787401575" top="0.984251969" bottom="0.984251969" header="0.4921259845" footer="0.4921259845"/>
  <pageSetup fitToWidth="0"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9"/>
  </sheetPr>
  <dimension ref="A1:B55"/>
  <sheetViews>
    <sheetView zoomScalePageLayoutView="0" workbookViewId="0" topLeftCell="A1">
      <selection activeCell="A1" sqref="A1"/>
    </sheetView>
  </sheetViews>
  <sheetFormatPr defaultColWidth="9.140625" defaultRowHeight="12.75"/>
  <cols>
    <col min="1" max="1" width="11.421875" style="2" customWidth="1"/>
    <col min="2" max="2" width="66.57421875" style="1" bestFit="1" customWidth="1"/>
    <col min="3" max="16384" width="11.421875" style="7" customWidth="1"/>
  </cols>
  <sheetData>
    <row r="1" spans="1:2" ht="10.5">
      <c r="A1" s="6" t="s">
        <v>16</v>
      </c>
      <c r="B1" s="7" t="s">
        <v>17</v>
      </c>
    </row>
    <row r="2" spans="1:2" ht="10.5">
      <c r="A2" s="2" t="s">
        <v>1</v>
      </c>
      <c r="B2" s="1" t="s">
        <v>18</v>
      </c>
    </row>
    <row r="3" spans="1:2" ht="10.5">
      <c r="A3" s="2" t="s">
        <v>14</v>
      </c>
      <c r="B3" s="1" t="s">
        <v>29</v>
      </c>
    </row>
    <row r="4" spans="1:2" ht="10.5">
      <c r="A4" s="2" t="s">
        <v>12</v>
      </c>
      <c r="B4" s="1" t="s">
        <v>78</v>
      </c>
    </row>
    <row r="5" spans="1:2" ht="10.5">
      <c r="A5" s="2" t="s">
        <v>10</v>
      </c>
      <c r="B5" s="1" t="s">
        <v>5</v>
      </c>
    </row>
    <row r="6" spans="1:2" ht="10.5">
      <c r="A6" s="2" t="s">
        <v>79</v>
      </c>
      <c r="B6" s="1" t="s">
        <v>80</v>
      </c>
    </row>
    <row r="10" spans="1:2" ht="10.5">
      <c r="A10" s="2" t="s">
        <v>2</v>
      </c>
      <c r="B10" s="1" t="s">
        <v>21</v>
      </c>
    </row>
    <row r="11" spans="1:2" ht="10.5">
      <c r="A11" s="2" t="s">
        <v>81</v>
      </c>
      <c r="B11" s="1" t="s">
        <v>82</v>
      </c>
    </row>
    <row r="12" spans="1:2" ht="10.5">
      <c r="A12" s="2" t="s">
        <v>13</v>
      </c>
      <c r="B12" s="1" t="s">
        <v>27</v>
      </c>
    </row>
    <row r="13" spans="1:2" ht="10.5">
      <c r="A13" s="2" t="s">
        <v>6</v>
      </c>
      <c r="B13" s="1" t="s">
        <v>19</v>
      </c>
    </row>
    <row r="14" spans="1:2" ht="10.5">
      <c r="A14" s="2" t="s">
        <v>7</v>
      </c>
      <c r="B14" s="1" t="s">
        <v>20</v>
      </c>
    </row>
    <row r="18" spans="1:2" ht="10.5">
      <c r="A18" s="2" t="s">
        <v>3</v>
      </c>
      <c r="B18" s="1" t="s">
        <v>23</v>
      </c>
    </row>
    <row r="19" spans="1:2" ht="10.5">
      <c r="A19" s="2" t="s">
        <v>9</v>
      </c>
      <c r="B19" s="1" t="s">
        <v>24</v>
      </c>
    </row>
    <row r="20" spans="1:2" ht="10.5">
      <c r="A20" s="2" t="s">
        <v>11</v>
      </c>
      <c r="B20" s="1" t="s">
        <v>26</v>
      </c>
    </row>
    <row r="21" spans="1:2" ht="10.5">
      <c r="A21" s="2" t="s">
        <v>84</v>
      </c>
      <c r="B21" s="1" t="s">
        <v>83</v>
      </c>
    </row>
    <row r="22" spans="1:2" ht="10.5">
      <c r="A22" s="2" t="s">
        <v>85</v>
      </c>
      <c r="B22" s="1" t="s">
        <v>28</v>
      </c>
    </row>
    <row r="26" spans="1:2" ht="10.5">
      <c r="A26" s="2" t="s">
        <v>4</v>
      </c>
      <c r="B26" s="1" t="s">
        <v>25</v>
      </c>
    </row>
    <row r="27" spans="1:2" ht="10.5">
      <c r="A27" s="2" t="s">
        <v>86</v>
      </c>
      <c r="B27" s="1" t="s">
        <v>87</v>
      </c>
    </row>
    <row r="28" spans="1:2" ht="10.5">
      <c r="A28" s="2" t="s">
        <v>8</v>
      </c>
      <c r="B28" s="1" t="s">
        <v>22</v>
      </c>
    </row>
    <row r="29" spans="1:2" ht="10.5">
      <c r="A29" s="2" t="s">
        <v>15</v>
      </c>
      <c r="B29" s="1" t="s">
        <v>30</v>
      </c>
    </row>
    <row r="30" spans="1:2" ht="10.5">
      <c r="A30" s="2" t="s">
        <v>88</v>
      </c>
      <c r="B30" s="1" t="s">
        <v>89</v>
      </c>
    </row>
    <row r="33" spans="1:2" ht="10.5">
      <c r="A33" s="2" t="s">
        <v>71</v>
      </c>
      <c r="B33" s="1" t="s">
        <v>31</v>
      </c>
    </row>
    <row r="34" spans="1:2" ht="10.5">
      <c r="A34" s="2" t="s">
        <v>75</v>
      </c>
      <c r="B34" s="1" t="s">
        <v>32</v>
      </c>
    </row>
    <row r="35" spans="1:2" ht="10.5">
      <c r="A35" s="2" t="s">
        <v>74</v>
      </c>
      <c r="B35" s="1" t="s">
        <v>33</v>
      </c>
    </row>
    <row r="36" spans="1:2" ht="10.5">
      <c r="A36" s="2" t="s">
        <v>72</v>
      </c>
      <c r="B36" s="1" t="s">
        <v>73</v>
      </c>
    </row>
    <row r="37" spans="1:2" ht="10.5">
      <c r="A37" s="2" t="s">
        <v>76</v>
      </c>
      <c r="B37" s="1" t="s">
        <v>34</v>
      </c>
    </row>
    <row r="38" spans="1:2" ht="10.5">
      <c r="A38" s="2" t="s">
        <v>35</v>
      </c>
      <c r="B38" s="1" t="s">
        <v>35</v>
      </c>
    </row>
    <row r="40" ht="10.5">
      <c r="B40" s="1" t="s">
        <v>36</v>
      </c>
    </row>
    <row r="41" ht="10.5">
      <c r="B41" s="1" t="s">
        <v>37</v>
      </c>
    </row>
    <row r="42" ht="10.5">
      <c r="B42" s="1" t="s">
        <v>38</v>
      </c>
    </row>
    <row r="43" ht="10.5">
      <c r="B43" s="1" t="s">
        <v>77</v>
      </c>
    </row>
    <row r="44" ht="10.5">
      <c r="B44" s="1" t="s">
        <v>90</v>
      </c>
    </row>
    <row r="45" ht="10.5">
      <c r="B45" s="1" t="s">
        <v>39</v>
      </c>
    </row>
    <row r="46" ht="10.5">
      <c r="B46" s="1" t="s">
        <v>69</v>
      </c>
    </row>
    <row r="47" ht="10.5">
      <c r="B47" s="1" t="s">
        <v>40</v>
      </c>
    </row>
    <row r="48" ht="10.5">
      <c r="B48" s="1" t="s">
        <v>41</v>
      </c>
    </row>
    <row r="49" ht="10.5">
      <c r="B49" s="1" t="s">
        <v>42</v>
      </c>
    </row>
    <row r="50" ht="10.5">
      <c r="B50" s="1" t="s">
        <v>68</v>
      </c>
    </row>
    <row r="51" ht="10.5">
      <c r="B51" s="1" t="s">
        <v>43</v>
      </c>
    </row>
    <row r="52" ht="10.5">
      <c r="B52" s="1" t="s">
        <v>100</v>
      </c>
    </row>
    <row r="53" ht="10.5">
      <c r="B53" s="1" t="s">
        <v>44</v>
      </c>
    </row>
    <row r="54" ht="10.5">
      <c r="B54" s="1" t="s">
        <v>70</v>
      </c>
    </row>
    <row r="55" ht="10.5">
      <c r="B55" s="1" t="s">
        <v>45</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georgholzer</dc:creator>
  <cp:keywords/>
  <dc:description/>
  <cp:lastModifiedBy>tdoppler</cp:lastModifiedBy>
  <cp:lastPrinted>2008-05-08T08:19:34Z</cp:lastPrinted>
  <dcterms:created xsi:type="dcterms:W3CDTF">2006-01-21T13:44:00Z</dcterms:created>
  <dcterms:modified xsi:type="dcterms:W3CDTF">2008-05-08T08:22:43Z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TC101450531031</vt:lpwstr>
  </property>
</Properties>
</file>